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2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ts/Desktop/deinstitucionalizimi/4 prill 2020/paketa per sistem/"/>
    </mc:Choice>
  </mc:AlternateContent>
  <bookViews>
    <workbookView xWindow="0" yWindow="460" windowWidth="28800" windowHeight="11980" tabRatio="759"/>
  </bookViews>
  <sheets>
    <sheet name="Plani Kombetar i DeI 2020-2022" sheetId="1" r:id="rId1"/>
    <sheet name="Politika 1" sheetId="2" r:id="rId2"/>
    <sheet name="Politika 2" sheetId="3" r:id="rId3"/>
    <sheet name="Politika 3" sheetId="4" r:id="rId4"/>
    <sheet name="Politika 4" sheetId="5" r:id="rId5"/>
    <sheet name="Politika 5" sheetId="6" r:id="rId6"/>
    <sheet name="Grafik" sheetId="7" r:id="rId7"/>
    <sheet name="Sheet1" sheetId="8" r:id="rId8"/>
  </sheets>
  <externalReferences>
    <externalReference r:id="rId9"/>
  </externalReferences>
  <definedNames>
    <definedName name="_ftn1" localSheetId="0">'Plani Kombetar i DeI 2020-2022'!#REF!</definedName>
    <definedName name="_ftnref1" localSheetId="0">'Plani Kombetar i DeI 2020-2022'!#REF!</definedName>
    <definedName name="_GoBack" localSheetId="0">'Plani Kombetar i DeI 2020-2022'!#REF!</definedName>
    <definedName name="Z_033B3830_A9CA_8D41_BC84_D742977C4300_.wvu.Cols" localSheetId="0" hidden="1">'Plani Kombetar i DeI 2020-2022'!$C:$F</definedName>
    <definedName name="Z_072E7775_6D14_894A_BE79_51AE1E53E486_.wvu.Cols" localSheetId="0" hidden="1">'Plani Kombetar i DeI 2020-2022'!$C:$F</definedName>
    <definedName name="Z_694CA80F_83B4_4B42_A82F_AA4B9565E59A_.wvu.Cols" localSheetId="0" hidden="1">'Plani Kombetar i DeI 2020-2022'!$C:$F</definedName>
  </definedNames>
  <calcPr calcId="150001" concurrentCalc="0"/>
  <customWorkbookViews>
    <customWorkbookView name="Microsoft Office User - Personal View" guid="{033B3830-A9CA-8D41-BC84-D742977C4300}" mergeInterval="0" personalView="1" windowWidth="1440" windowHeight="395" tabRatio="759" activeSheetId="1" showComments="commIndAndComment"/>
    <customWorkbookView name="Zini Kore - Personal View" guid="{694CA80F-83B4-4B42-A82F-AA4B9565E59A}" mergeInterval="0" personalView="1" maximized="1" xWindow="1" yWindow="1" windowWidth="1366" windowHeight="496" tabRatio="759" activeSheetId="1"/>
    <customWorkbookView name="CTS - Personal View" guid="{072E7775-6D14-894A-BE79-51AE1E53E486}" mergeInterval="0" personalView="1" yWindow="85" windowWidth="1440" windowHeight="734" tabRatio="759" activeSheetId="1" showComments="commIndAndComment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7" i="1" l="1"/>
  <c r="Z17" i="1"/>
  <c r="Y18" i="1"/>
  <c r="Z18" i="1"/>
  <c r="Y19" i="1"/>
  <c r="Z19" i="1"/>
  <c r="Z16" i="1"/>
  <c r="Y23" i="1"/>
  <c r="Z23" i="1"/>
  <c r="Z22" i="1"/>
  <c r="Y26" i="1"/>
  <c r="Z26" i="1"/>
  <c r="Y27" i="1"/>
  <c r="Z27" i="1"/>
  <c r="Y28" i="1"/>
  <c r="Z28" i="1"/>
  <c r="Y29" i="1"/>
  <c r="Z29" i="1"/>
  <c r="Z25" i="1"/>
  <c r="AV22" i="3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Z31" i="1"/>
  <c r="Y42" i="1"/>
  <c r="Z42" i="1"/>
  <c r="Y43" i="1"/>
  <c r="Z43" i="1"/>
  <c r="Y44" i="1"/>
  <c r="Z44" i="1"/>
  <c r="Y45" i="1"/>
  <c r="Z45" i="1"/>
  <c r="AV17" i="4"/>
  <c r="Y46" i="1"/>
  <c r="Z46" i="1"/>
  <c r="Z41" i="1"/>
  <c r="Y49" i="1"/>
  <c r="Z49" i="1"/>
  <c r="Y50" i="1"/>
  <c r="Z50" i="1"/>
  <c r="Y51" i="1"/>
  <c r="Z51" i="1"/>
  <c r="Y52" i="1"/>
  <c r="Z52" i="1"/>
  <c r="Y53" i="1"/>
  <c r="Z53" i="1"/>
  <c r="Z48" i="1"/>
  <c r="Y56" i="1"/>
  <c r="Z56" i="1"/>
  <c r="Y57" i="1"/>
  <c r="Z57" i="1"/>
  <c r="J29" i="4"/>
  <c r="L29" i="4"/>
  <c r="Q29" i="4"/>
  <c r="AC29" i="4"/>
  <c r="AO29" i="4"/>
  <c r="AS29" i="4"/>
  <c r="AV29" i="4"/>
  <c r="Y58" i="1"/>
  <c r="Z58" i="1"/>
  <c r="Z55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Z60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X54" i="4"/>
  <c r="AJ54" i="4"/>
  <c r="AV54" i="4"/>
  <c r="Y83" i="1"/>
  <c r="Z83" i="1"/>
  <c r="Y84" i="1"/>
  <c r="Z84" i="1"/>
  <c r="Y85" i="1"/>
  <c r="Z85" i="1"/>
  <c r="Y86" i="1"/>
  <c r="Z86" i="1"/>
  <c r="Z73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AV24" i="5"/>
  <c r="Y101" i="1"/>
  <c r="Z101" i="1"/>
  <c r="Q25" i="5"/>
  <c r="AC25" i="5"/>
  <c r="AO25" i="5"/>
  <c r="AS25" i="5"/>
  <c r="AV25" i="5"/>
  <c r="Y102" i="1"/>
  <c r="Z102" i="1"/>
  <c r="Z89" i="1"/>
  <c r="Y105" i="1"/>
  <c r="Z105" i="1"/>
  <c r="Y106" i="1"/>
  <c r="Z106" i="1"/>
  <c r="Y107" i="1"/>
  <c r="Z107" i="1"/>
  <c r="Y108" i="1"/>
  <c r="Z108" i="1"/>
  <c r="Z104" i="1"/>
  <c r="Y112" i="1"/>
  <c r="Z112" i="1"/>
  <c r="Y113" i="1"/>
  <c r="Z113" i="1"/>
  <c r="AN15" i="6"/>
  <c r="AS15" i="6"/>
  <c r="AV15" i="6"/>
  <c r="Y114" i="1"/>
  <c r="Z114" i="1"/>
  <c r="Y115" i="1"/>
  <c r="Z115" i="1"/>
  <c r="Y116" i="1"/>
  <c r="Z116" i="1"/>
  <c r="Y117" i="1"/>
  <c r="Z117" i="1"/>
  <c r="Z111" i="1"/>
  <c r="Y120" i="1"/>
  <c r="Z120" i="1"/>
  <c r="AO22" i="6"/>
  <c r="AS22" i="6"/>
  <c r="AV22" i="6"/>
  <c r="Y121" i="1"/>
  <c r="Z121" i="1"/>
  <c r="Y122" i="1"/>
  <c r="Z122" i="1"/>
  <c r="Y123" i="1"/>
  <c r="Z123" i="1"/>
  <c r="Y124" i="1"/>
  <c r="Z124" i="1"/>
  <c r="K26" i="6"/>
  <c r="O26" i="6"/>
  <c r="AA26" i="6"/>
  <c r="AM26" i="6"/>
  <c r="AO26" i="6"/>
  <c r="AS26" i="6"/>
  <c r="AT26" i="6"/>
  <c r="AV26" i="6"/>
  <c r="Y125" i="1"/>
  <c r="Z125" i="1"/>
  <c r="Z119" i="1"/>
  <c r="Z15" i="1"/>
  <c r="Z11" i="1"/>
  <c r="Z12" i="1"/>
  <c r="Z13" i="1"/>
  <c r="Z14" i="1"/>
  <c r="Z10" i="1"/>
  <c r="Z9" i="1"/>
  <c r="W16" i="2"/>
  <c r="AW11" i="4"/>
  <c r="AW18" i="4"/>
  <c r="AW25" i="4"/>
  <c r="AW30" i="4"/>
  <c r="AW43" i="4"/>
  <c r="AW10" i="4"/>
  <c r="AW9" i="4"/>
  <c r="W11" i="4"/>
  <c r="W18" i="4"/>
  <c r="W25" i="4"/>
  <c r="W30" i="4"/>
  <c r="W43" i="4"/>
  <c r="W10" i="4"/>
  <c r="W9" i="4"/>
  <c r="AW11" i="5"/>
  <c r="AW26" i="5"/>
  <c r="AW10" i="5"/>
  <c r="AW9" i="5"/>
  <c r="W11" i="5"/>
  <c r="W26" i="5"/>
  <c r="W10" i="5"/>
  <c r="W9" i="5"/>
  <c r="AW11" i="6"/>
  <c r="AW19" i="6"/>
  <c r="AW10" i="6"/>
  <c r="AW9" i="6"/>
  <c r="W11" i="6"/>
  <c r="W19" i="6"/>
  <c r="W10" i="6"/>
  <c r="W9" i="6"/>
  <c r="Z118" i="1"/>
  <c r="Z110" i="1"/>
  <c r="Z109" i="1"/>
  <c r="Z103" i="1"/>
  <c r="Z88" i="1"/>
  <c r="Z87" i="1"/>
  <c r="Z72" i="1"/>
  <c r="Z59" i="1"/>
  <c r="Z54" i="1"/>
  <c r="Z47" i="1"/>
  <c r="Z40" i="1"/>
  <c r="Z39" i="1"/>
  <c r="Z30" i="1"/>
  <c r="Z24" i="1"/>
  <c r="Z21" i="1"/>
  <c r="Z20" i="1"/>
  <c r="Z8" i="1"/>
  <c r="W11" i="1"/>
  <c r="W12" i="1"/>
  <c r="W13" i="1"/>
  <c r="W14" i="1"/>
  <c r="W10" i="1"/>
  <c r="W16" i="1"/>
  <c r="W17" i="1"/>
  <c r="W18" i="1"/>
  <c r="W19" i="1"/>
  <c r="W15" i="1"/>
  <c r="W9" i="1"/>
  <c r="W22" i="1"/>
  <c r="W23" i="1"/>
  <c r="W21" i="1"/>
  <c r="W25" i="1"/>
  <c r="W26" i="1"/>
  <c r="W27" i="1"/>
  <c r="W28" i="1"/>
  <c r="W29" i="1"/>
  <c r="W24" i="1"/>
  <c r="W31" i="1"/>
  <c r="W32" i="1"/>
  <c r="W33" i="1"/>
  <c r="W34" i="1"/>
  <c r="W35" i="1"/>
  <c r="W36" i="1"/>
  <c r="W37" i="1"/>
  <c r="W38" i="1"/>
  <c r="W30" i="1"/>
  <c r="W20" i="1"/>
  <c r="W41" i="1"/>
  <c r="W42" i="1"/>
  <c r="W43" i="1"/>
  <c r="W44" i="1"/>
  <c r="W45" i="1"/>
  <c r="W46" i="1"/>
  <c r="W40" i="1"/>
  <c r="W48" i="1"/>
  <c r="W49" i="1"/>
  <c r="W50" i="1"/>
  <c r="W51" i="1"/>
  <c r="W52" i="1"/>
  <c r="W53" i="1"/>
  <c r="W47" i="1"/>
  <c r="W55" i="1"/>
  <c r="W56" i="1"/>
  <c r="AM28" i="4"/>
  <c r="AS28" i="4"/>
  <c r="AT28" i="4"/>
  <c r="W57" i="1"/>
  <c r="W58" i="1"/>
  <c r="W54" i="1"/>
  <c r="W60" i="1"/>
  <c r="W61" i="1"/>
  <c r="W62" i="1"/>
  <c r="W63" i="1"/>
  <c r="W64" i="1"/>
  <c r="W65" i="1"/>
  <c r="W66" i="1"/>
  <c r="W67" i="1"/>
  <c r="W68" i="1"/>
  <c r="W69" i="1"/>
  <c r="J41" i="4"/>
  <c r="O41" i="4"/>
  <c r="AA41" i="4"/>
  <c r="AM41" i="4"/>
  <c r="AS41" i="4"/>
  <c r="AT41" i="4"/>
  <c r="W70" i="1"/>
  <c r="W71" i="1"/>
  <c r="W59" i="1"/>
  <c r="W73" i="1"/>
  <c r="W74" i="1"/>
  <c r="W75" i="1"/>
  <c r="W76" i="1"/>
  <c r="J48" i="4"/>
  <c r="K48" i="4"/>
  <c r="O48" i="4"/>
  <c r="AA48" i="4"/>
  <c r="AM48" i="4"/>
  <c r="AS48" i="4"/>
  <c r="AT48" i="4"/>
  <c r="W77" i="1"/>
  <c r="J49" i="4"/>
  <c r="K49" i="4"/>
  <c r="O49" i="4"/>
  <c r="AA49" i="4"/>
  <c r="AM49" i="4"/>
  <c r="AS49" i="4"/>
  <c r="AT49" i="4"/>
  <c r="W78" i="1"/>
  <c r="J50" i="4"/>
  <c r="K50" i="4"/>
  <c r="O50" i="4"/>
  <c r="AA50" i="4"/>
  <c r="AM50" i="4"/>
  <c r="AS50" i="4"/>
  <c r="AT50" i="4"/>
  <c r="W79" i="1"/>
  <c r="J51" i="4"/>
  <c r="K51" i="4"/>
  <c r="O51" i="4"/>
  <c r="AA51" i="4"/>
  <c r="AM51" i="4"/>
  <c r="AS51" i="4"/>
  <c r="AT51" i="4"/>
  <c r="W80" i="1"/>
  <c r="J52" i="4"/>
  <c r="K52" i="4"/>
  <c r="O52" i="4"/>
  <c r="AA52" i="4"/>
  <c r="AM52" i="4"/>
  <c r="AS52" i="4"/>
  <c r="AT52" i="4"/>
  <c r="W81" i="1"/>
  <c r="J53" i="4"/>
  <c r="K53" i="4"/>
  <c r="O53" i="4"/>
  <c r="AA53" i="4"/>
  <c r="AM53" i="4"/>
  <c r="AS53" i="4"/>
  <c r="AT53" i="4"/>
  <c r="W82" i="1"/>
  <c r="J54" i="4"/>
  <c r="K54" i="4"/>
  <c r="O54" i="4"/>
  <c r="AA54" i="4"/>
  <c r="AM54" i="4"/>
  <c r="AS54" i="4"/>
  <c r="AT54" i="4"/>
  <c r="W83" i="1"/>
  <c r="J55" i="4"/>
  <c r="K55" i="4"/>
  <c r="O55" i="4"/>
  <c r="AA55" i="4"/>
  <c r="AM55" i="4"/>
  <c r="AS55" i="4"/>
  <c r="AT55" i="4"/>
  <c r="W84" i="1"/>
  <c r="J56" i="4"/>
  <c r="K56" i="4"/>
  <c r="O56" i="4"/>
  <c r="AA56" i="4"/>
  <c r="AM56" i="4"/>
  <c r="AS56" i="4"/>
  <c r="AT56" i="4"/>
  <c r="W85" i="1"/>
  <c r="O57" i="4"/>
  <c r="AA57" i="4"/>
  <c r="AM57" i="4"/>
  <c r="AS57" i="4"/>
  <c r="AT57" i="4"/>
  <c r="W86" i="1"/>
  <c r="W72" i="1"/>
  <c r="W39" i="1"/>
  <c r="W89" i="1"/>
  <c r="O13" i="5"/>
  <c r="AA13" i="5"/>
  <c r="AM13" i="5"/>
  <c r="AS13" i="5"/>
  <c r="AT13" i="5"/>
  <c r="W90" i="1"/>
  <c r="W91" i="1"/>
  <c r="W92" i="1"/>
  <c r="W93" i="1"/>
  <c r="W94" i="1"/>
  <c r="W95" i="1"/>
  <c r="W96" i="1"/>
  <c r="AT20" i="5"/>
  <c r="W97" i="1"/>
  <c r="W98" i="1"/>
  <c r="W99" i="1"/>
  <c r="W100" i="1"/>
  <c r="W101" i="1"/>
  <c r="W102" i="1"/>
  <c r="W88" i="1"/>
  <c r="W104" i="1"/>
  <c r="W105" i="1"/>
  <c r="W106" i="1"/>
  <c r="W107" i="1"/>
  <c r="K31" i="5"/>
  <c r="O31" i="5"/>
  <c r="AA31" i="5"/>
  <c r="AM31" i="5"/>
  <c r="AS31" i="5"/>
  <c r="AT31" i="5"/>
  <c r="W108" i="1"/>
  <c r="W103" i="1"/>
  <c r="W87" i="1"/>
  <c r="W111" i="1"/>
  <c r="W112" i="1"/>
  <c r="W113" i="1"/>
  <c r="W114" i="1"/>
  <c r="W115" i="1"/>
  <c r="W116" i="1"/>
  <c r="W117" i="1"/>
  <c r="W110" i="1"/>
  <c r="W119" i="1"/>
  <c r="W120" i="1"/>
  <c r="W121" i="1"/>
  <c r="J23" i="6"/>
  <c r="K23" i="6"/>
  <c r="O23" i="6"/>
  <c r="AA23" i="6"/>
  <c r="AM23" i="6"/>
  <c r="AS23" i="6"/>
  <c r="AT23" i="6"/>
  <c r="W122" i="1"/>
  <c r="W123" i="1"/>
  <c r="AA25" i="6"/>
  <c r="AM25" i="6"/>
  <c r="AT25" i="6"/>
  <c r="W124" i="1"/>
  <c r="W125" i="1"/>
  <c r="W118" i="1"/>
  <c r="W109" i="1"/>
  <c r="W8" i="1"/>
  <c r="M12" i="1"/>
  <c r="N12" i="1"/>
  <c r="J14" i="2"/>
  <c r="K14" i="2"/>
  <c r="O14" i="2"/>
  <c r="V14" i="2"/>
  <c r="M13" i="1"/>
  <c r="N13" i="1"/>
  <c r="M14" i="1"/>
  <c r="N14" i="1"/>
  <c r="N11" i="1"/>
  <c r="M17" i="1"/>
  <c r="N17" i="1"/>
  <c r="M18" i="1"/>
  <c r="N18" i="1"/>
  <c r="M19" i="1"/>
  <c r="N19" i="1"/>
  <c r="N16" i="1"/>
  <c r="J13" i="3"/>
  <c r="K13" i="3"/>
  <c r="O13" i="3"/>
  <c r="U13" i="3"/>
  <c r="V13" i="3"/>
  <c r="M23" i="1"/>
  <c r="N23" i="1"/>
  <c r="N22" i="1"/>
  <c r="M26" i="1"/>
  <c r="N26" i="1"/>
  <c r="M27" i="1"/>
  <c r="N27" i="1"/>
  <c r="M28" i="1"/>
  <c r="N28" i="1"/>
  <c r="K19" i="3"/>
  <c r="O19" i="3"/>
  <c r="V19" i="3"/>
  <c r="M29" i="1"/>
  <c r="N29" i="1"/>
  <c r="N25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N31" i="1"/>
  <c r="M42" i="1"/>
  <c r="N42" i="1"/>
  <c r="M43" i="1"/>
  <c r="N43" i="1"/>
  <c r="M44" i="1"/>
  <c r="N44" i="1"/>
  <c r="M45" i="1"/>
  <c r="N45" i="1"/>
  <c r="M46" i="1"/>
  <c r="N46" i="1"/>
  <c r="N41" i="1"/>
  <c r="M41" i="1"/>
  <c r="M49" i="1"/>
  <c r="N49" i="1"/>
  <c r="M50" i="1"/>
  <c r="N50" i="1"/>
  <c r="M51" i="1"/>
  <c r="N51" i="1"/>
  <c r="M52" i="1"/>
  <c r="N52" i="1"/>
  <c r="M53" i="1"/>
  <c r="N53" i="1"/>
  <c r="N48" i="1"/>
  <c r="M56" i="1"/>
  <c r="N56" i="1"/>
  <c r="O28" i="4"/>
  <c r="U28" i="4"/>
  <c r="V28" i="4"/>
  <c r="M57" i="1"/>
  <c r="N57" i="1"/>
  <c r="M58" i="1"/>
  <c r="N58" i="1"/>
  <c r="N55" i="1"/>
  <c r="J32" i="4"/>
  <c r="P32" i="4"/>
  <c r="U32" i="4"/>
  <c r="V32" i="4"/>
  <c r="M61" i="1"/>
  <c r="N61" i="1"/>
  <c r="M62" i="1"/>
  <c r="N62" i="1"/>
  <c r="M63" i="1"/>
  <c r="N63" i="1"/>
  <c r="O35" i="4"/>
  <c r="U35" i="4"/>
  <c r="V35" i="4"/>
  <c r="M64" i="1"/>
  <c r="N64" i="1"/>
  <c r="J36" i="4"/>
  <c r="O36" i="4"/>
  <c r="U36" i="4"/>
  <c r="V36" i="4"/>
  <c r="M65" i="1"/>
  <c r="N65" i="1"/>
  <c r="M66" i="1"/>
  <c r="N66" i="1"/>
  <c r="M67" i="1"/>
  <c r="N67" i="1"/>
  <c r="M68" i="1"/>
  <c r="N68" i="1"/>
  <c r="M69" i="1"/>
  <c r="N69" i="1"/>
  <c r="U41" i="4"/>
  <c r="V41" i="4"/>
  <c r="M70" i="1"/>
  <c r="N70" i="1"/>
  <c r="M71" i="1"/>
  <c r="N71" i="1"/>
  <c r="N60" i="1"/>
  <c r="J45" i="4"/>
  <c r="K45" i="4"/>
  <c r="O45" i="4"/>
  <c r="U45" i="4"/>
  <c r="V45" i="4"/>
  <c r="M74" i="1"/>
  <c r="N74" i="1"/>
  <c r="M75" i="1"/>
  <c r="N75" i="1"/>
  <c r="J47" i="4"/>
  <c r="K47" i="4"/>
  <c r="O47" i="4"/>
  <c r="U47" i="4"/>
  <c r="V47" i="4"/>
  <c r="M76" i="1"/>
  <c r="N76" i="1"/>
  <c r="U48" i="4"/>
  <c r="V48" i="4"/>
  <c r="M77" i="1"/>
  <c r="N77" i="1"/>
  <c r="U49" i="4"/>
  <c r="V49" i="4"/>
  <c r="M78" i="1"/>
  <c r="N78" i="1"/>
  <c r="U50" i="4"/>
  <c r="V50" i="4"/>
  <c r="M79" i="1"/>
  <c r="N79" i="1"/>
  <c r="U51" i="4"/>
  <c r="V51" i="4"/>
  <c r="M80" i="1"/>
  <c r="N80" i="1"/>
  <c r="U52" i="4"/>
  <c r="V52" i="4"/>
  <c r="M81" i="1"/>
  <c r="N81" i="1"/>
  <c r="U53" i="4"/>
  <c r="V53" i="4"/>
  <c r="M82" i="1"/>
  <c r="N82" i="1"/>
  <c r="U54" i="4"/>
  <c r="V54" i="4"/>
  <c r="M83" i="1"/>
  <c r="N83" i="1"/>
  <c r="U55" i="4"/>
  <c r="V55" i="4"/>
  <c r="M84" i="1"/>
  <c r="N84" i="1"/>
  <c r="U56" i="4"/>
  <c r="V56" i="4"/>
  <c r="M85" i="1"/>
  <c r="N85" i="1"/>
  <c r="U57" i="4"/>
  <c r="V57" i="4"/>
  <c r="M86" i="1"/>
  <c r="N86" i="1"/>
  <c r="N73" i="1"/>
  <c r="U13" i="5"/>
  <c r="V13" i="5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N89" i="1"/>
  <c r="M105" i="1"/>
  <c r="N105" i="1"/>
  <c r="M106" i="1"/>
  <c r="N106" i="1"/>
  <c r="M107" i="1"/>
  <c r="N107" i="1"/>
  <c r="U31" i="5"/>
  <c r="V31" i="5"/>
  <c r="M108" i="1"/>
  <c r="N108" i="1"/>
  <c r="N104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N111" i="1"/>
  <c r="M120" i="1"/>
  <c r="N120" i="1"/>
  <c r="M121" i="1"/>
  <c r="N121" i="1"/>
  <c r="M122" i="1"/>
  <c r="N122" i="1"/>
  <c r="M123" i="1"/>
  <c r="N123" i="1"/>
  <c r="M124" i="1"/>
  <c r="N124" i="1"/>
  <c r="V26" i="6"/>
  <c r="M125" i="1"/>
  <c r="N125" i="1"/>
  <c r="N119" i="1"/>
  <c r="AW16" i="2"/>
  <c r="AB26" i="6"/>
  <c r="AC26" i="6"/>
  <c r="AG26" i="6"/>
  <c r="AH26" i="6"/>
  <c r="AJ26" i="6"/>
  <c r="Q26" i="6"/>
  <c r="U26" i="6"/>
  <c r="X26" i="6"/>
  <c r="J26" i="6"/>
  <c r="Q20" i="6"/>
  <c r="U20" i="6"/>
  <c r="Q21" i="6"/>
  <c r="U21" i="6"/>
  <c r="Q22" i="6"/>
  <c r="U22" i="6"/>
  <c r="U23" i="6"/>
  <c r="U24" i="6"/>
  <c r="U25" i="6"/>
  <c r="U19" i="6"/>
  <c r="U12" i="6"/>
  <c r="U13" i="6"/>
  <c r="U14" i="6"/>
  <c r="P15" i="6"/>
  <c r="U15" i="6"/>
  <c r="U16" i="6"/>
  <c r="U17" i="6"/>
  <c r="U18" i="6"/>
  <c r="U11" i="6"/>
  <c r="U10" i="6"/>
  <c r="AC20" i="6"/>
  <c r="AG20" i="6"/>
  <c r="AC21" i="6"/>
  <c r="AG21" i="6"/>
  <c r="AC22" i="6"/>
  <c r="AG22" i="6"/>
  <c r="AG23" i="6"/>
  <c r="AG24" i="6"/>
  <c r="AC25" i="6"/>
  <c r="AG25" i="6"/>
  <c r="AG19" i="6"/>
  <c r="AG12" i="6"/>
  <c r="AG13" i="6"/>
  <c r="AG14" i="6"/>
  <c r="AB15" i="6"/>
  <c r="AG15" i="6"/>
  <c r="AG16" i="6"/>
  <c r="AG17" i="6"/>
  <c r="AG18" i="6"/>
  <c r="AG11" i="6"/>
  <c r="AG10" i="6"/>
  <c r="AO20" i="6"/>
  <c r="AS20" i="6"/>
  <c r="AO21" i="6"/>
  <c r="AS21" i="6"/>
  <c r="AS24" i="6"/>
  <c r="AO25" i="6"/>
  <c r="AS25" i="6"/>
  <c r="AS19" i="6"/>
  <c r="AS12" i="6"/>
  <c r="AS13" i="6"/>
  <c r="AS14" i="6"/>
  <c r="AS16" i="6"/>
  <c r="AS17" i="6"/>
  <c r="AS18" i="6"/>
  <c r="AS11" i="6"/>
  <c r="AS10" i="6"/>
  <c r="N12" i="6"/>
  <c r="N14" i="6"/>
  <c r="N16" i="6"/>
  <c r="N17" i="6"/>
  <c r="N18" i="6"/>
  <c r="U9" i="6"/>
  <c r="AG9" i="6"/>
  <c r="AS9" i="6"/>
  <c r="U39" i="4"/>
  <c r="AG39" i="4"/>
  <c r="AS39" i="4"/>
  <c r="N39" i="4"/>
  <c r="J17" i="3"/>
  <c r="L17" i="3"/>
  <c r="Q17" i="3"/>
  <c r="J15" i="3"/>
  <c r="U17" i="3"/>
  <c r="J13" i="5"/>
  <c r="L27" i="5"/>
  <c r="Q27" i="5"/>
  <c r="U12" i="5"/>
  <c r="U14" i="5"/>
  <c r="U15" i="5"/>
  <c r="U16" i="5"/>
  <c r="U17" i="5"/>
  <c r="P18" i="5"/>
  <c r="Q18" i="5"/>
  <c r="U18" i="5"/>
  <c r="O19" i="5"/>
  <c r="P19" i="5"/>
  <c r="U19" i="5"/>
  <c r="U20" i="5"/>
  <c r="U21" i="5"/>
  <c r="P23" i="5"/>
  <c r="Q23" i="5"/>
  <c r="U23" i="5"/>
  <c r="P24" i="5"/>
  <c r="Q24" i="5"/>
  <c r="U24" i="5"/>
  <c r="U25" i="5"/>
  <c r="U11" i="5"/>
  <c r="AG13" i="5"/>
  <c r="AG12" i="5"/>
  <c r="AB14" i="5"/>
  <c r="AG14" i="5"/>
  <c r="AG15" i="5"/>
  <c r="AG16" i="5"/>
  <c r="AG17" i="5"/>
  <c r="AB18" i="5"/>
  <c r="AC18" i="5"/>
  <c r="AG18" i="5"/>
  <c r="AA19" i="5"/>
  <c r="AB19" i="5"/>
  <c r="AG19" i="5"/>
  <c r="AC20" i="5"/>
  <c r="AG20" i="5"/>
  <c r="AG21" i="5"/>
  <c r="AA22" i="5"/>
  <c r="AG22" i="5"/>
  <c r="AB23" i="5"/>
  <c r="AC23" i="5"/>
  <c r="AG23" i="5"/>
  <c r="AG24" i="5"/>
  <c r="AG25" i="5"/>
  <c r="AG11" i="5"/>
  <c r="AS12" i="5"/>
  <c r="AS14" i="5"/>
  <c r="AS15" i="5"/>
  <c r="AS16" i="5"/>
  <c r="AS17" i="5"/>
  <c r="AS18" i="5"/>
  <c r="AM19" i="5"/>
  <c r="AN19" i="5"/>
  <c r="AS19" i="5"/>
  <c r="AS20" i="5"/>
  <c r="AS21" i="5"/>
  <c r="AS22" i="5"/>
  <c r="AS23" i="5"/>
  <c r="AS24" i="5"/>
  <c r="AS11" i="5"/>
  <c r="J27" i="5"/>
  <c r="K27" i="5"/>
  <c r="O27" i="5"/>
  <c r="U27" i="5"/>
  <c r="U28" i="5"/>
  <c r="J29" i="5"/>
  <c r="P29" i="5"/>
  <c r="U29" i="5"/>
  <c r="U30" i="5"/>
  <c r="U26" i="5"/>
  <c r="U10" i="5"/>
  <c r="AG27" i="5"/>
  <c r="AG28" i="5"/>
  <c r="AB29" i="5"/>
  <c r="AG29" i="5"/>
  <c r="AB30" i="5"/>
  <c r="AG30" i="5"/>
  <c r="AG31" i="5"/>
  <c r="AG26" i="5"/>
  <c r="AG10" i="5"/>
  <c r="AS27" i="5"/>
  <c r="AS28" i="5"/>
  <c r="AN29" i="5"/>
  <c r="AS29" i="5"/>
  <c r="AN30" i="5"/>
  <c r="AS30" i="5"/>
  <c r="AS26" i="5"/>
  <c r="AS10" i="5"/>
  <c r="L90" i="1"/>
  <c r="L89" i="1"/>
  <c r="L91" i="1"/>
  <c r="L92" i="1"/>
  <c r="L93" i="1"/>
  <c r="L94" i="1"/>
  <c r="L95" i="1"/>
  <c r="L96" i="1"/>
  <c r="L97" i="1"/>
  <c r="L98" i="1"/>
  <c r="L99" i="1"/>
  <c r="L100" i="1"/>
  <c r="L101" i="1"/>
  <c r="L102" i="1"/>
  <c r="L88" i="1"/>
  <c r="Q90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88" i="1"/>
  <c r="V90" i="1"/>
  <c r="V89" i="1"/>
  <c r="V91" i="1"/>
  <c r="V92" i="1"/>
  <c r="V93" i="1"/>
  <c r="V94" i="1"/>
  <c r="V95" i="1"/>
  <c r="V96" i="1"/>
  <c r="V97" i="1"/>
  <c r="V98" i="1"/>
  <c r="V99" i="1"/>
  <c r="V100" i="1"/>
  <c r="V101" i="1"/>
  <c r="V102" i="1"/>
  <c r="V88" i="1"/>
  <c r="L104" i="1"/>
  <c r="L105" i="1"/>
  <c r="L106" i="1"/>
  <c r="L107" i="1"/>
  <c r="L108" i="1"/>
  <c r="L103" i="1"/>
  <c r="L87" i="1"/>
  <c r="Q104" i="1"/>
  <c r="Q105" i="1"/>
  <c r="Q106" i="1"/>
  <c r="Q107" i="1"/>
  <c r="Q108" i="1"/>
  <c r="Q103" i="1"/>
  <c r="Q87" i="1"/>
  <c r="V104" i="1"/>
  <c r="V105" i="1"/>
  <c r="V106" i="1"/>
  <c r="V107" i="1"/>
  <c r="V108" i="1"/>
  <c r="V103" i="1"/>
  <c r="V87" i="1"/>
  <c r="J44" i="4"/>
  <c r="O44" i="4"/>
  <c r="U44" i="4"/>
  <c r="L73" i="1"/>
  <c r="L74" i="1"/>
  <c r="U46" i="4"/>
  <c r="L75" i="1"/>
  <c r="L76" i="1"/>
  <c r="L77" i="1"/>
  <c r="L78" i="1"/>
  <c r="L79" i="1"/>
  <c r="L80" i="1"/>
  <c r="L81" i="1"/>
  <c r="L82" i="1"/>
  <c r="L83" i="1"/>
  <c r="L84" i="1"/>
  <c r="L85" i="1"/>
  <c r="L86" i="1"/>
  <c r="L72" i="1"/>
  <c r="AA44" i="4"/>
  <c r="AG44" i="4"/>
  <c r="Q73" i="1"/>
  <c r="AG45" i="4"/>
  <c r="Q74" i="1"/>
  <c r="AG46" i="4"/>
  <c r="Q75" i="1"/>
  <c r="AG47" i="4"/>
  <c r="Q76" i="1"/>
  <c r="AG48" i="4"/>
  <c r="Q77" i="1"/>
  <c r="AG49" i="4"/>
  <c r="Q78" i="1"/>
  <c r="AG50" i="4"/>
  <c r="Q79" i="1"/>
  <c r="AG51" i="4"/>
  <c r="Q80" i="1"/>
  <c r="AG52" i="4"/>
  <c r="Q81" i="1"/>
  <c r="AG53" i="4"/>
  <c r="Q82" i="1"/>
  <c r="AG54" i="4"/>
  <c r="Q83" i="1"/>
  <c r="AG55" i="4"/>
  <c r="Q84" i="1"/>
  <c r="AG56" i="4"/>
  <c r="Q85" i="1"/>
  <c r="AB57" i="4"/>
  <c r="AG57" i="4"/>
  <c r="Q86" i="1"/>
  <c r="Q72" i="1"/>
  <c r="AS44" i="4"/>
  <c r="V73" i="1"/>
  <c r="AS45" i="4"/>
  <c r="V74" i="1"/>
  <c r="AS46" i="4"/>
  <c r="V75" i="1"/>
  <c r="AS47" i="4"/>
  <c r="V76" i="1"/>
  <c r="V77" i="1"/>
  <c r="V78" i="1"/>
  <c r="V79" i="1"/>
  <c r="V80" i="1"/>
  <c r="V81" i="1"/>
  <c r="V82" i="1"/>
  <c r="V83" i="1"/>
  <c r="V84" i="1"/>
  <c r="V85" i="1"/>
  <c r="V86" i="1"/>
  <c r="V72" i="1"/>
  <c r="J31" i="4"/>
  <c r="Q31" i="4"/>
  <c r="U31" i="4"/>
  <c r="L60" i="1"/>
  <c r="L61" i="1"/>
  <c r="J33" i="4"/>
  <c r="L33" i="4"/>
  <c r="Q33" i="4"/>
  <c r="U33" i="4"/>
  <c r="L62" i="1"/>
  <c r="J34" i="4"/>
  <c r="L34" i="4"/>
  <c r="Q34" i="4"/>
  <c r="U34" i="4"/>
  <c r="L63" i="1"/>
  <c r="L64" i="1"/>
  <c r="L65" i="1"/>
  <c r="J37" i="4"/>
  <c r="O37" i="4"/>
  <c r="U37" i="4"/>
  <c r="L66" i="1"/>
  <c r="U38" i="4"/>
  <c r="L67" i="1"/>
  <c r="L68" i="1"/>
  <c r="J40" i="4"/>
  <c r="Q40" i="4"/>
  <c r="U40" i="4"/>
  <c r="L69" i="1"/>
  <c r="L70" i="1"/>
  <c r="J42" i="4"/>
  <c r="K42" i="4"/>
  <c r="O42" i="4"/>
  <c r="U42" i="4"/>
  <c r="L71" i="1"/>
  <c r="L59" i="1"/>
  <c r="AC31" i="4"/>
  <c r="AG31" i="4"/>
  <c r="Q60" i="1"/>
  <c r="AG32" i="4"/>
  <c r="Q61" i="1"/>
  <c r="AG33" i="4"/>
  <c r="Q62" i="1"/>
  <c r="AG34" i="4"/>
  <c r="Q63" i="1"/>
  <c r="AA35" i="4"/>
  <c r="AG35" i="4"/>
  <c r="Q64" i="1"/>
  <c r="AA36" i="4"/>
  <c r="AG36" i="4"/>
  <c r="Q65" i="1"/>
  <c r="AA37" i="4"/>
  <c r="AG37" i="4"/>
  <c r="Q66" i="1"/>
  <c r="AB38" i="4"/>
  <c r="J38" i="4"/>
  <c r="AC38" i="4"/>
  <c r="AG38" i="4"/>
  <c r="Q67" i="1"/>
  <c r="Q68" i="1"/>
  <c r="AG40" i="4"/>
  <c r="Q69" i="1"/>
  <c r="AG41" i="4"/>
  <c r="Q70" i="1"/>
  <c r="AA42" i="4"/>
  <c r="AG42" i="4"/>
  <c r="Q71" i="1"/>
  <c r="Q59" i="1"/>
  <c r="AS31" i="4"/>
  <c r="V60" i="1"/>
  <c r="AS32" i="4"/>
  <c r="V61" i="1"/>
  <c r="AS33" i="4"/>
  <c r="V62" i="1"/>
  <c r="AS34" i="4"/>
  <c r="V63" i="1"/>
  <c r="AM35" i="4"/>
  <c r="AS35" i="4"/>
  <c r="V64" i="1"/>
  <c r="AM36" i="4"/>
  <c r="AS36" i="4"/>
  <c r="V65" i="1"/>
  <c r="AM37" i="4"/>
  <c r="AS37" i="4"/>
  <c r="V66" i="1"/>
  <c r="AS38" i="4"/>
  <c r="V67" i="1"/>
  <c r="V68" i="1"/>
  <c r="AS40" i="4"/>
  <c r="V69" i="1"/>
  <c r="V70" i="1"/>
  <c r="AM42" i="4"/>
  <c r="AS42" i="4"/>
  <c r="V71" i="1"/>
  <c r="V59" i="1"/>
  <c r="J26" i="4"/>
  <c r="Q26" i="4"/>
  <c r="U26" i="4"/>
  <c r="L55" i="1"/>
  <c r="J27" i="4"/>
  <c r="L27" i="4"/>
  <c r="Q27" i="4"/>
  <c r="U27" i="4"/>
  <c r="L56" i="1"/>
  <c r="L57" i="1"/>
  <c r="U29" i="4"/>
  <c r="L58" i="1"/>
  <c r="L54" i="1"/>
  <c r="AG26" i="4"/>
  <c r="Q55" i="1"/>
  <c r="AG27" i="4"/>
  <c r="Q56" i="1"/>
  <c r="AA28" i="4"/>
  <c r="AG28" i="4"/>
  <c r="Q57" i="1"/>
  <c r="AG29" i="4"/>
  <c r="Q58" i="1"/>
  <c r="Q54" i="1"/>
  <c r="AS26" i="4"/>
  <c r="V55" i="1"/>
  <c r="AS27" i="4"/>
  <c r="V56" i="1"/>
  <c r="V57" i="1"/>
  <c r="V58" i="1"/>
  <c r="V54" i="1"/>
  <c r="J24" i="4"/>
  <c r="Q24" i="4"/>
  <c r="AC24" i="4"/>
  <c r="AJ24" i="4"/>
  <c r="L21" i="4"/>
  <c r="Q21" i="4"/>
  <c r="J20" i="4"/>
  <c r="Q20" i="4"/>
  <c r="U20" i="4"/>
  <c r="L49" i="1"/>
  <c r="AC20" i="4"/>
  <c r="AG20" i="4"/>
  <c r="Q49" i="1"/>
  <c r="AS20" i="4"/>
  <c r="V49" i="1"/>
  <c r="J21" i="4"/>
  <c r="K21" i="4"/>
  <c r="O21" i="4"/>
  <c r="U21" i="4"/>
  <c r="L50" i="1"/>
  <c r="AG21" i="4"/>
  <c r="Q50" i="1"/>
  <c r="AS21" i="4"/>
  <c r="V50" i="1"/>
  <c r="J22" i="4"/>
  <c r="L22" i="4"/>
  <c r="Q22" i="4"/>
  <c r="U22" i="4"/>
  <c r="L51" i="1"/>
  <c r="X22" i="4"/>
  <c r="AC22" i="4"/>
  <c r="AG22" i="4"/>
  <c r="Q51" i="1"/>
  <c r="AS22" i="4"/>
  <c r="V51" i="1"/>
  <c r="J23" i="4"/>
  <c r="Q23" i="4"/>
  <c r="U23" i="4"/>
  <c r="L52" i="1"/>
  <c r="AC23" i="4"/>
  <c r="AG23" i="4"/>
  <c r="Q52" i="1"/>
  <c r="AS23" i="4"/>
  <c r="V52" i="1"/>
  <c r="AG24" i="4"/>
  <c r="Q53" i="1"/>
  <c r="U24" i="4"/>
  <c r="L53" i="1"/>
  <c r="AS24" i="4"/>
  <c r="V53" i="1"/>
  <c r="J19" i="4"/>
  <c r="Q19" i="4"/>
  <c r="U19" i="4"/>
  <c r="L48" i="1"/>
  <c r="AG19" i="4"/>
  <c r="Q48" i="1"/>
  <c r="AS19" i="4"/>
  <c r="V48" i="1"/>
  <c r="J12" i="4"/>
  <c r="P12" i="4"/>
  <c r="U12" i="4"/>
  <c r="L41" i="1"/>
  <c r="J13" i="4"/>
  <c r="O13" i="4"/>
  <c r="U13" i="4"/>
  <c r="L42" i="1"/>
  <c r="P14" i="4"/>
  <c r="Q14" i="4"/>
  <c r="U14" i="4"/>
  <c r="L43" i="1"/>
  <c r="P15" i="4"/>
  <c r="U15" i="4"/>
  <c r="L44" i="1"/>
  <c r="P16" i="4"/>
  <c r="U16" i="4"/>
  <c r="L45" i="1"/>
  <c r="J17" i="4"/>
  <c r="R17" i="4"/>
  <c r="U17" i="4"/>
  <c r="L46" i="1"/>
  <c r="L40" i="1"/>
  <c r="AB12" i="4"/>
  <c r="AG12" i="4"/>
  <c r="Q41" i="1"/>
  <c r="AG13" i="4"/>
  <c r="Q42" i="1"/>
  <c r="AB14" i="4"/>
  <c r="AC14" i="4"/>
  <c r="AG14" i="4"/>
  <c r="Q43" i="1"/>
  <c r="AG15" i="4"/>
  <c r="Q44" i="1"/>
  <c r="AB16" i="4"/>
  <c r="AG16" i="4"/>
  <c r="Q45" i="1"/>
  <c r="AB17" i="4"/>
  <c r="AG17" i="4"/>
  <c r="Q46" i="1"/>
  <c r="Q40" i="1"/>
  <c r="AM12" i="4"/>
  <c r="AN12" i="4"/>
  <c r="AS12" i="4"/>
  <c r="V41" i="1"/>
  <c r="AS13" i="4"/>
  <c r="V42" i="1"/>
  <c r="AS14" i="4"/>
  <c r="V43" i="1"/>
  <c r="AS15" i="4"/>
  <c r="V44" i="1"/>
  <c r="AN16" i="4"/>
  <c r="AS16" i="4"/>
  <c r="V45" i="1"/>
  <c r="AN17" i="4"/>
  <c r="AS17" i="4"/>
  <c r="V46" i="1"/>
  <c r="V40" i="1"/>
  <c r="H41" i="1"/>
  <c r="H42" i="1"/>
  <c r="J14" i="4"/>
  <c r="H43" i="1"/>
  <c r="J15" i="4"/>
  <c r="H44" i="1"/>
  <c r="J16" i="4"/>
  <c r="H45" i="1"/>
  <c r="H46" i="1"/>
  <c r="H40" i="1"/>
  <c r="H48" i="1"/>
  <c r="H49" i="1"/>
  <c r="H50" i="1"/>
  <c r="H51" i="1"/>
  <c r="H52" i="1"/>
  <c r="H53" i="1"/>
  <c r="H47" i="1"/>
  <c r="H55" i="1"/>
  <c r="H56" i="1"/>
  <c r="J28" i="4"/>
  <c r="H57" i="1"/>
  <c r="H58" i="1"/>
  <c r="H54" i="1"/>
  <c r="H60" i="1"/>
  <c r="H61" i="1"/>
  <c r="H62" i="1"/>
  <c r="H63" i="1"/>
  <c r="J35" i="4"/>
  <c r="H64" i="1"/>
  <c r="H65" i="1"/>
  <c r="H66" i="1"/>
  <c r="H67" i="1"/>
  <c r="H68" i="1"/>
  <c r="H69" i="1"/>
  <c r="H70" i="1"/>
  <c r="H71" i="1"/>
  <c r="H59" i="1"/>
  <c r="H73" i="1"/>
  <c r="H74" i="1"/>
  <c r="J46" i="4"/>
  <c r="H75" i="1"/>
  <c r="H76" i="1"/>
  <c r="H77" i="1"/>
  <c r="H78" i="1"/>
  <c r="H79" i="1"/>
  <c r="H80" i="1"/>
  <c r="H81" i="1"/>
  <c r="H82" i="1"/>
  <c r="H83" i="1"/>
  <c r="H84" i="1"/>
  <c r="H85" i="1"/>
  <c r="J57" i="4"/>
  <c r="H86" i="1"/>
  <c r="H72" i="1"/>
  <c r="H39" i="1"/>
  <c r="I41" i="1"/>
  <c r="I42" i="1"/>
  <c r="I43" i="1"/>
  <c r="I44" i="1"/>
  <c r="I45" i="1"/>
  <c r="I46" i="1"/>
  <c r="I40" i="1"/>
  <c r="I48" i="1"/>
  <c r="I49" i="1"/>
  <c r="I50" i="1"/>
  <c r="I51" i="1"/>
  <c r="I52" i="1"/>
  <c r="I53" i="1"/>
  <c r="I47" i="1"/>
  <c r="I55" i="1"/>
  <c r="I56" i="1"/>
  <c r="K28" i="4"/>
  <c r="I57" i="1"/>
  <c r="I58" i="1"/>
  <c r="I54" i="1"/>
  <c r="I60" i="1"/>
  <c r="K32" i="4"/>
  <c r="I61" i="1"/>
  <c r="I62" i="1"/>
  <c r="I63" i="1"/>
  <c r="K35" i="4"/>
  <c r="I64" i="1"/>
  <c r="K36" i="4"/>
  <c r="I65" i="1"/>
  <c r="K37" i="4"/>
  <c r="I66" i="1"/>
  <c r="I67" i="1"/>
  <c r="I68" i="1"/>
  <c r="I69" i="1"/>
  <c r="K41" i="4"/>
  <c r="I70" i="1"/>
  <c r="I71" i="1"/>
  <c r="I59" i="1"/>
  <c r="K44" i="4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K57" i="4"/>
  <c r="I86" i="1"/>
  <c r="I72" i="1"/>
  <c r="I39" i="1"/>
  <c r="L12" i="4"/>
  <c r="J41" i="1"/>
  <c r="L13" i="4"/>
  <c r="J42" i="1"/>
  <c r="L14" i="4"/>
  <c r="J43" i="1"/>
  <c r="L15" i="4"/>
  <c r="J44" i="1"/>
  <c r="L16" i="4"/>
  <c r="J45" i="1"/>
  <c r="L17" i="4"/>
  <c r="J46" i="1"/>
  <c r="J40" i="1"/>
  <c r="L19" i="4"/>
  <c r="J48" i="1"/>
  <c r="L20" i="4"/>
  <c r="J49" i="1"/>
  <c r="J50" i="1"/>
  <c r="J51" i="1"/>
  <c r="L23" i="4"/>
  <c r="J52" i="1"/>
  <c r="L24" i="4"/>
  <c r="J53" i="1"/>
  <c r="J47" i="1"/>
  <c r="L26" i="4"/>
  <c r="J55" i="1"/>
  <c r="J56" i="1"/>
  <c r="J57" i="1"/>
  <c r="J58" i="1"/>
  <c r="J54" i="1"/>
  <c r="L31" i="4"/>
  <c r="J60" i="1"/>
  <c r="J61" i="1"/>
  <c r="J62" i="1"/>
  <c r="J63" i="1"/>
  <c r="J64" i="1"/>
  <c r="J65" i="1"/>
  <c r="J66" i="1"/>
  <c r="J67" i="1"/>
  <c r="J68" i="1"/>
  <c r="L40" i="4"/>
  <c r="J69" i="1"/>
  <c r="J70" i="1"/>
  <c r="J71" i="1"/>
  <c r="J59" i="1"/>
  <c r="J73" i="1"/>
  <c r="J74" i="1"/>
  <c r="L46" i="4"/>
  <c r="J75" i="1"/>
  <c r="J76" i="1"/>
  <c r="J77" i="1"/>
  <c r="J78" i="1"/>
  <c r="J79" i="1"/>
  <c r="J80" i="1"/>
  <c r="J81" i="1"/>
  <c r="J82" i="1"/>
  <c r="J83" i="1"/>
  <c r="J84" i="1"/>
  <c r="J85" i="1"/>
  <c r="J86" i="1"/>
  <c r="J72" i="1"/>
  <c r="J39" i="1"/>
  <c r="K41" i="1"/>
  <c r="K42" i="1"/>
  <c r="K43" i="1"/>
  <c r="K44" i="1"/>
  <c r="K45" i="1"/>
  <c r="K46" i="1"/>
  <c r="K40" i="1"/>
  <c r="K48" i="1"/>
  <c r="K49" i="1"/>
  <c r="K50" i="1"/>
  <c r="K51" i="1"/>
  <c r="K52" i="1"/>
  <c r="K53" i="1"/>
  <c r="K47" i="1"/>
  <c r="K55" i="1"/>
  <c r="K56" i="1"/>
  <c r="K57" i="1"/>
  <c r="K58" i="1"/>
  <c r="K54" i="1"/>
  <c r="K60" i="1"/>
  <c r="K61" i="1"/>
  <c r="K62" i="1"/>
  <c r="K63" i="1"/>
  <c r="K64" i="1"/>
  <c r="K65" i="1"/>
  <c r="K66" i="1"/>
  <c r="K67" i="1"/>
  <c r="K68" i="1"/>
  <c r="K69" i="1"/>
  <c r="K70" i="1"/>
  <c r="K71" i="1"/>
  <c r="K59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72" i="1"/>
  <c r="K39" i="1"/>
  <c r="L47" i="1"/>
  <c r="L39" i="1"/>
  <c r="M40" i="1"/>
  <c r="M48" i="1"/>
  <c r="M47" i="1"/>
  <c r="M55" i="1"/>
  <c r="M54" i="1"/>
  <c r="M60" i="1"/>
  <c r="M59" i="1"/>
  <c r="V44" i="4"/>
  <c r="M73" i="1"/>
  <c r="M72" i="1"/>
  <c r="M39" i="1"/>
  <c r="N40" i="1"/>
  <c r="N47" i="1"/>
  <c r="N54" i="1"/>
  <c r="N59" i="1"/>
  <c r="N72" i="1"/>
  <c r="N39" i="1"/>
  <c r="X12" i="4"/>
  <c r="O41" i="1"/>
  <c r="X13" i="4"/>
  <c r="O42" i="1"/>
  <c r="X14" i="4"/>
  <c r="O43" i="1"/>
  <c r="O44" i="1"/>
  <c r="X16" i="4"/>
  <c r="O45" i="1"/>
  <c r="X17" i="4"/>
  <c r="O46" i="1"/>
  <c r="O40" i="1"/>
  <c r="X19" i="4"/>
  <c r="O48" i="1"/>
  <c r="X20" i="4"/>
  <c r="O49" i="1"/>
  <c r="X21" i="4"/>
  <c r="O50" i="1"/>
  <c r="O51" i="1"/>
  <c r="X23" i="4"/>
  <c r="O52" i="1"/>
  <c r="X24" i="4"/>
  <c r="O53" i="1"/>
  <c r="O47" i="1"/>
  <c r="X26" i="4"/>
  <c r="O55" i="1"/>
  <c r="X27" i="4"/>
  <c r="O56" i="1"/>
  <c r="O57" i="1"/>
  <c r="X29" i="4"/>
  <c r="O58" i="1"/>
  <c r="O54" i="1"/>
  <c r="X31" i="4"/>
  <c r="O60" i="1"/>
  <c r="O61" i="1"/>
  <c r="X33" i="4"/>
  <c r="O62" i="1"/>
  <c r="X34" i="4"/>
  <c r="O63" i="1"/>
  <c r="O64" i="1"/>
  <c r="O65" i="1"/>
  <c r="O66" i="1"/>
  <c r="O67" i="1"/>
  <c r="O68" i="1"/>
  <c r="X40" i="4"/>
  <c r="O69" i="1"/>
  <c r="O70" i="1"/>
  <c r="O71" i="1"/>
  <c r="O59" i="1"/>
  <c r="O73" i="1"/>
  <c r="O74" i="1"/>
  <c r="X46" i="4"/>
  <c r="O75" i="1"/>
  <c r="O76" i="1"/>
  <c r="O77" i="1"/>
  <c r="O78" i="1"/>
  <c r="O79" i="1"/>
  <c r="O80" i="1"/>
  <c r="O81" i="1"/>
  <c r="O82" i="1"/>
  <c r="O83" i="1"/>
  <c r="O84" i="1"/>
  <c r="O85" i="1"/>
  <c r="O86" i="1"/>
  <c r="O72" i="1"/>
  <c r="O39" i="1"/>
  <c r="P41" i="1"/>
  <c r="P42" i="1"/>
  <c r="P43" i="1"/>
  <c r="P44" i="1"/>
  <c r="P45" i="1"/>
  <c r="P46" i="1"/>
  <c r="P40" i="1"/>
  <c r="P48" i="1"/>
  <c r="P49" i="1"/>
  <c r="P50" i="1"/>
  <c r="P51" i="1"/>
  <c r="P52" i="1"/>
  <c r="P53" i="1"/>
  <c r="P47" i="1"/>
  <c r="P55" i="1"/>
  <c r="P56" i="1"/>
  <c r="P57" i="1"/>
  <c r="P58" i="1"/>
  <c r="P54" i="1"/>
  <c r="P60" i="1"/>
  <c r="P61" i="1"/>
  <c r="P62" i="1"/>
  <c r="P63" i="1"/>
  <c r="P64" i="1"/>
  <c r="P65" i="1"/>
  <c r="P66" i="1"/>
  <c r="P67" i="1"/>
  <c r="P68" i="1"/>
  <c r="P69" i="1"/>
  <c r="P70" i="1"/>
  <c r="P71" i="1"/>
  <c r="P59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72" i="1"/>
  <c r="P39" i="1"/>
  <c r="Q47" i="1"/>
  <c r="Q39" i="1"/>
  <c r="R41" i="1"/>
  <c r="R42" i="1"/>
  <c r="R43" i="1"/>
  <c r="R44" i="1"/>
  <c r="R45" i="1"/>
  <c r="R46" i="1"/>
  <c r="R40" i="1"/>
  <c r="R48" i="1"/>
  <c r="R49" i="1"/>
  <c r="R50" i="1"/>
  <c r="R51" i="1"/>
  <c r="R52" i="1"/>
  <c r="R53" i="1"/>
  <c r="R47" i="1"/>
  <c r="R55" i="1"/>
  <c r="R56" i="1"/>
  <c r="AH28" i="4"/>
  <c r="R57" i="1"/>
  <c r="R58" i="1"/>
  <c r="R54" i="1"/>
  <c r="R60" i="1"/>
  <c r="R61" i="1"/>
  <c r="R62" i="1"/>
  <c r="R63" i="1"/>
  <c r="R64" i="1"/>
  <c r="R65" i="1"/>
  <c r="R66" i="1"/>
  <c r="R67" i="1"/>
  <c r="R68" i="1"/>
  <c r="R69" i="1"/>
  <c r="AH41" i="4"/>
  <c r="R70" i="1"/>
  <c r="R71" i="1"/>
  <c r="R59" i="1"/>
  <c r="AH44" i="4"/>
  <c r="R73" i="1"/>
  <c r="R74" i="1"/>
  <c r="R75" i="1"/>
  <c r="R76" i="1"/>
  <c r="AH48" i="4"/>
  <c r="R77" i="1"/>
  <c r="AH49" i="4"/>
  <c r="R78" i="1"/>
  <c r="AH50" i="4"/>
  <c r="R79" i="1"/>
  <c r="AH51" i="4"/>
  <c r="R80" i="1"/>
  <c r="AH52" i="4"/>
  <c r="R81" i="1"/>
  <c r="AH53" i="4"/>
  <c r="R82" i="1"/>
  <c r="AH54" i="4"/>
  <c r="R83" i="1"/>
  <c r="AH55" i="4"/>
  <c r="R84" i="1"/>
  <c r="AH56" i="4"/>
  <c r="R85" i="1"/>
  <c r="AH57" i="4"/>
  <c r="R86" i="1"/>
  <c r="R72" i="1"/>
  <c r="R39" i="1"/>
  <c r="S41" i="1"/>
  <c r="S42" i="1"/>
  <c r="S43" i="1"/>
  <c r="S44" i="1"/>
  <c r="S45" i="1"/>
  <c r="S46" i="1"/>
  <c r="S40" i="1"/>
  <c r="S48" i="1"/>
  <c r="S49" i="1"/>
  <c r="S50" i="1"/>
  <c r="S51" i="1"/>
  <c r="S52" i="1"/>
  <c r="S53" i="1"/>
  <c r="S47" i="1"/>
  <c r="S55" i="1"/>
  <c r="S56" i="1"/>
  <c r="S57" i="1"/>
  <c r="S58" i="1"/>
  <c r="S54" i="1"/>
  <c r="S60" i="1"/>
  <c r="S61" i="1"/>
  <c r="S62" i="1"/>
  <c r="S63" i="1"/>
  <c r="S64" i="1"/>
  <c r="S65" i="1"/>
  <c r="S66" i="1"/>
  <c r="S67" i="1"/>
  <c r="S68" i="1"/>
  <c r="S69" i="1"/>
  <c r="S70" i="1"/>
  <c r="S71" i="1"/>
  <c r="S59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72" i="1"/>
  <c r="S39" i="1"/>
  <c r="T53" i="1"/>
  <c r="T48" i="1"/>
  <c r="AJ20" i="4"/>
  <c r="T49" i="1"/>
  <c r="T50" i="1"/>
  <c r="AJ22" i="4"/>
  <c r="T51" i="1"/>
  <c r="AJ23" i="4"/>
  <c r="T52" i="1"/>
  <c r="T47" i="1"/>
  <c r="T41" i="1"/>
  <c r="T42" i="1"/>
  <c r="AJ14" i="4"/>
  <c r="T43" i="1"/>
  <c r="T44" i="1"/>
  <c r="AJ16" i="4"/>
  <c r="T45" i="1"/>
  <c r="T46" i="1"/>
  <c r="T40" i="1"/>
  <c r="T55" i="1"/>
  <c r="T56" i="1"/>
  <c r="T57" i="1"/>
  <c r="AJ29" i="4"/>
  <c r="T58" i="1"/>
  <c r="T54" i="1"/>
  <c r="AJ31" i="4"/>
  <c r="T60" i="1"/>
  <c r="T61" i="1"/>
  <c r="T62" i="1"/>
  <c r="T63" i="1"/>
  <c r="T64" i="1"/>
  <c r="T65" i="1"/>
  <c r="T66" i="1"/>
  <c r="T67" i="1"/>
  <c r="T68" i="1"/>
  <c r="T69" i="1"/>
  <c r="T70" i="1"/>
  <c r="T71" i="1"/>
  <c r="T59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72" i="1"/>
  <c r="T39" i="1"/>
  <c r="U41" i="1"/>
  <c r="U42" i="1"/>
  <c r="U43" i="1"/>
  <c r="U44" i="1"/>
  <c r="U45" i="1"/>
  <c r="U46" i="1"/>
  <c r="U40" i="1"/>
  <c r="U48" i="1"/>
  <c r="U49" i="1"/>
  <c r="U50" i="1"/>
  <c r="U51" i="1"/>
  <c r="U52" i="1"/>
  <c r="U53" i="1"/>
  <c r="U47" i="1"/>
  <c r="U55" i="1"/>
  <c r="U56" i="1"/>
  <c r="U57" i="1"/>
  <c r="U58" i="1"/>
  <c r="U54" i="1"/>
  <c r="U60" i="1"/>
  <c r="U61" i="1"/>
  <c r="U62" i="1"/>
  <c r="U63" i="1"/>
  <c r="U64" i="1"/>
  <c r="U65" i="1"/>
  <c r="U66" i="1"/>
  <c r="U67" i="1"/>
  <c r="U68" i="1"/>
  <c r="U69" i="1"/>
  <c r="U70" i="1"/>
  <c r="U71" i="1"/>
  <c r="U59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72" i="1"/>
  <c r="U39" i="1"/>
  <c r="V47" i="1"/>
  <c r="V39" i="1"/>
  <c r="X41" i="1"/>
  <c r="X42" i="1"/>
  <c r="X43" i="1"/>
  <c r="X44" i="1"/>
  <c r="X45" i="1"/>
  <c r="X46" i="1"/>
  <c r="X40" i="1"/>
  <c r="X48" i="1"/>
  <c r="X49" i="1"/>
  <c r="X50" i="1"/>
  <c r="X51" i="1"/>
  <c r="X52" i="1"/>
  <c r="X53" i="1"/>
  <c r="X47" i="1"/>
  <c r="X55" i="1"/>
  <c r="X56" i="1"/>
  <c r="X57" i="1"/>
  <c r="X58" i="1"/>
  <c r="X54" i="1"/>
  <c r="X60" i="1"/>
  <c r="X61" i="1"/>
  <c r="X62" i="1"/>
  <c r="X63" i="1"/>
  <c r="X64" i="1"/>
  <c r="X65" i="1"/>
  <c r="X66" i="1"/>
  <c r="X67" i="1"/>
  <c r="X68" i="1"/>
  <c r="X69" i="1"/>
  <c r="X70" i="1"/>
  <c r="X71" i="1"/>
  <c r="X59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72" i="1"/>
  <c r="X39" i="1"/>
  <c r="Y41" i="1"/>
  <c r="Y40" i="1"/>
  <c r="Y48" i="1"/>
  <c r="Y47" i="1"/>
  <c r="Y55" i="1"/>
  <c r="Y54" i="1"/>
  <c r="Y60" i="1"/>
  <c r="Y59" i="1"/>
  <c r="Y73" i="1"/>
  <c r="Y72" i="1"/>
  <c r="Y39" i="1"/>
  <c r="J12" i="3"/>
  <c r="K12" i="3"/>
  <c r="O12" i="3"/>
  <c r="U12" i="3"/>
  <c r="L22" i="1"/>
  <c r="L23" i="1"/>
  <c r="L21" i="1"/>
  <c r="Q15" i="3"/>
  <c r="U15" i="3"/>
  <c r="L25" i="1"/>
  <c r="J16" i="3"/>
  <c r="Q16" i="3"/>
  <c r="U16" i="3"/>
  <c r="L26" i="1"/>
  <c r="L27" i="1"/>
  <c r="J18" i="3"/>
  <c r="Q18" i="3"/>
  <c r="U18" i="3"/>
  <c r="L28" i="1"/>
  <c r="J19" i="3"/>
  <c r="L19" i="3"/>
  <c r="Q19" i="3"/>
  <c r="U19" i="3"/>
  <c r="L29" i="1"/>
  <c r="L24" i="1"/>
  <c r="J21" i="3"/>
  <c r="O21" i="3"/>
  <c r="U21" i="3"/>
  <c r="L31" i="1"/>
  <c r="J22" i="3"/>
  <c r="L22" i="3"/>
  <c r="Q22" i="3"/>
  <c r="U22" i="3"/>
  <c r="L32" i="1"/>
  <c r="Q23" i="3"/>
  <c r="U23" i="3"/>
  <c r="L33" i="1"/>
  <c r="P24" i="3"/>
  <c r="Q24" i="3"/>
  <c r="U24" i="3"/>
  <c r="L34" i="1"/>
  <c r="J25" i="3"/>
  <c r="L25" i="3"/>
  <c r="Q25" i="3"/>
  <c r="U25" i="3"/>
  <c r="L35" i="1"/>
  <c r="J26" i="3"/>
  <c r="L26" i="3"/>
  <c r="Q26" i="3"/>
  <c r="U26" i="3"/>
  <c r="L36" i="1"/>
  <c r="U27" i="3"/>
  <c r="L37" i="1"/>
  <c r="J28" i="3"/>
  <c r="Q28" i="3"/>
  <c r="U28" i="3"/>
  <c r="L38" i="1"/>
  <c r="L30" i="1"/>
  <c r="L20" i="1"/>
  <c r="AG12" i="3"/>
  <c r="Q22" i="1"/>
  <c r="AG13" i="3"/>
  <c r="Q23" i="1"/>
  <c r="Q21" i="1"/>
  <c r="AG15" i="3"/>
  <c r="Q25" i="1"/>
  <c r="AG16" i="3"/>
  <c r="Q26" i="1"/>
  <c r="AG17" i="3"/>
  <c r="Q27" i="1"/>
  <c r="AG18" i="3"/>
  <c r="Q28" i="1"/>
  <c r="AA19" i="3"/>
  <c r="AC19" i="3"/>
  <c r="AG19" i="3"/>
  <c r="Q29" i="1"/>
  <c r="Q24" i="1"/>
  <c r="AG21" i="3"/>
  <c r="Q31" i="1"/>
  <c r="AE22" i="3"/>
  <c r="AF22" i="3"/>
  <c r="AG22" i="3"/>
  <c r="Q32" i="1"/>
  <c r="AA23" i="3"/>
  <c r="AC23" i="3"/>
  <c r="AG23" i="3"/>
  <c r="Q33" i="1"/>
  <c r="AB24" i="3"/>
  <c r="AC24" i="3"/>
  <c r="AG24" i="3"/>
  <c r="Q34" i="1"/>
  <c r="AG25" i="3"/>
  <c r="Q35" i="1"/>
  <c r="AG26" i="3"/>
  <c r="Q36" i="1"/>
  <c r="J27" i="3"/>
  <c r="K27" i="3"/>
  <c r="AA27" i="3"/>
  <c r="AG27" i="3"/>
  <c r="Q37" i="1"/>
  <c r="AG28" i="3"/>
  <c r="Q38" i="1"/>
  <c r="Q30" i="1"/>
  <c r="Q20" i="1"/>
  <c r="AS12" i="3"/>
  <c r="V22" i="1"/>
  <c r="AS13" i="3"/>
  <c r="V23" i="1"/>
  <c r="V21" i="1"/>
  <c r="AS15" i="3"/>
  <c r="V25" i="1"/>
  <c r="AS16" i="3"/>
  <c r="V26" i="1"/>
  <c r="AS17" i="3"/>
  <c r="V27" i="1"/>
  <c r="AS18" i="3"/>
  <c r="V28" i="1"/>
  <c r="AS19" i="3"/>
  <c r="V29" i="1"/>
  <c r="V24" i="1"/>
  <c r="AS21" i="3"/>
  <c r="V31" i="1"/>
  <c r="AO22" i="3"/>
  <c r="AP22" i="3"/>
  <c r="AQ22" i="3"/>
  <c r="AR22" i="3"/>
  <c r="AS22" i="3"/>
  <c r="V32" i="1"/>
  <c r="V33" i="1"/>
  <c r="AS24" i="3"/>
  <c r="V34" i="1"/>
  <c r="AS25" i="3"/>
  <c r="V35" i="1"/>
  <c r="AS26" i="3"/>
  <c r="V36" i="1"/>
  <c r="AS27" i="3"/>
  <c r="V37" i="1"/>
  <c r="AS28" i="3"/>
  <c r="V38" i="1"/>
  <c r="V30" i="1"/>
  <c r="V20" i="1"/>
  <c r="J12" i="2"/>
  <c r="Q12" i="2"/>
  <c r="U12" i="2"/>
  <c r="L11" i="1"/>
  <c r="J13" i="2"/>
  <c r="Q13" i="2"/>
  <c r="U13" i="2"/>
  <c r="L12" i="1"/>
  <c r="L14" i="2"/>
  <c r="P14" i="2"/>
  <c r="U14" i="2"/>
  <c r="L13" i="1"/>
  <c r="J15" i="2"/>
  <c r="Q15" i="2"/>
  <c r="U15" i="2"/>
  <c r="L14" i="1"/>
  <c r="L10" i="1"/>
  <c r="J17" i="2"/>
  <c r="Q17" i="2"/>
  <c r="U17" i="2"/>
  <c r="L16" i="1"/>
  <c r="J18" i="2"/>
  <c r="L18" i="2"/>
  <c r="Q18" i="2"/>
  <c r="U18" i="2"/>
  <c r="L17" i="1"/>
  <c r="J19" i="2"/>
  <c r="Q19" i="2"/>
  <c r="U19" i="2"/>
  <c r="L18" i="1"/>
  <c r="J20" i="2"/>
  <c r="Q20" i="2"/>
  <c r="U20" i="2"/>
  <c r="L19" i="1"/>
  <c r="L15" i="1"/>
  <c r="L9" i="1"/>
  <c r="AG12" i="2"/>
  <c r="Q11" i="1"/>
  <c r="AG13" i="2"/>
  <c r="Q12" i="1"/>
  <c r="AG14" i="2"/>
  <c r="Q13" i="1"/>
  <c r="AG15" i="2"/>
  <c r="Q14" i="1"/>
  <c r="Q10" i="1"/>
  <c r="AG17" i="2"/>
  <c r="Q16" i="1"/>
  <c r="AG18" i="2"/>
  <c r="Q17" i="1"/>
  <c r="AG19" i="2"/>
  <c r="Q18" i="1"/>
  <c r="AG20" i="2"/>
  <c r="Q19" i="1"/>
  <c r="Q15" i="1"/>
  <c r="Q9" i="1"/>
  <c r="V11" i="1"/>
  <c r="V12" i="1"/>
  <c r="V13" i="1"/>
  <c r="V14" i="1"/>
  <c r="V10" i="1"/>
  <c r="AM17" i="2"/>
  <c r="AS17" i="2"/>
  <c r="V16" i="1"/>
  <c r="AS18" i="2"/>
  <c r="V17" i="1"/>
  <c r="AS19" i="2"/>
  <c r="V18" i="1"/>
  <c r="AS20" i="2"/>
  <c r="V19" i="1"/>
  <c r="V15" i="1"/>
  <c r="V9" i="1"/>
  <c r="L111" i="1"/>
  <c r="L112" i="1"/>
  <c r="L113" i="1"/>
  <c r="L114" i="1"/>
  <c r="L115" i="1"/>
  <c r="L116" i="1"/>
  <c r="L117" i="1"/>
  <c r="L110" i="1"/>
  <c r="L119" i="1"/>
  <c r="L120" i="1"/>
  <c r="L121" i="1"/>
  <c r="L122" i="1"/>
  <c r="L123" i="1"/>
  <c r="L124" i="1"/>
  <c r="L125" i="1"/>
  <c r="L118" i="1"/>
  <c r="L109" i="1"/>
  <c r="L8" i="1"/>
  <c r="M11" i="1"/>
  <c r="M10" i="1"/>
  <c r="M16" i="1"/>
  <c r="M15" i="1"/>
  <c r="M9" i="1"/>
  <c r="V12" i="3"/>
  <c r="M22" i="1"/>
  <c r="M21" i="1"/>
  <c r="M25" i="1"/>
  <c r="M24" i="1"/>
  <c r="V21" i="3"/>
  <c r="M31" i="1"/>
  <c r="M30" i="1"/>
  <c r="M20" i="1"/>
  <c r="M89" i="1"/>
  <c r="M88" i="1"/>
  <c r="V27" i="5"/>
  <c r="M104" i="1"/>
  <c r="M103" i="1"/>
  <c r="M87" i="1"/>
  <c r="M111" i="1"/>
  <c r="M110" i="1"/>
  <c r="M119" i="1"/>
  <c r="M118" i="1"/>
  <c r="M109" i="1"/>
  <c r="M8" i="1"/>
  <c r="N10" i="1"/>
  <c r="N15" i="1"/>
  <c r="N9" i="1"/>
  <c r="N21" i="1"/>
  <c r="N24" i="1"/>
  <c r="N30" i="1"/>
  <c r="N20" i="1"/>
  <c r="N88" i="1"/>
  <c r="N103" i="1"/>
  <c r="N87" i="1"/>
  <c r="N110" i="1"/>
  <c r="N118" i="1"/>
  <c r="N109" i="1"/>
  <c r="N8" i="1"/>
  <c r="L12" i="2"/>
  <c r="X12" i="2"/>
  <c r="O11" i="1"/>
  <c r="L13" i="2"/>
  <c r="X13" i="2"/>
  <c r="O12" i="1"/>
  <c r="O13" i="1"/>
  <c r="L15" i="2"/>
  <c r="X15" i="2"/>
  <c r="O14" i="1"/>
  <c r="O10" i="1"/>
  <c r="L17" i="2"/>
  <c r="X17" i="2"/>
  <c r="O16" i="1"/>
  <c r="X18" i="2"/>
  <c r="O17" i="1"/>
  <c r="L19" i="2"/>
  <c r="X19" i="2"/>
  <c r="O18" i="1"/>
  <c r="L20" i="2"/>
  <c r="X20" i="2"/>
  <c r="O19" i="1"/>
  <c r="O15" i="1"/>
  <c r="O9" i="1"/>
  <c r="O22" i="1"/>
  <c r="O23" i="1"/>
  <c r="O21" i="1"/>
  <c r="L15" i="3"/>
  <c r="X15" i="3"/>
  <c r="O25" i="1"/>
  <c r="L16" i="3"/>
  <c r="X16" i="3"/>
  <c r="O26" i="1"/>
  <c r="O27" i="1"/>
  <c r="L18" i="3"/>
  <c r="X18" i="3"/>
  <c r="O28" i="1"/>
  <c r="X19" i="3"/>
  <c r="O29" i="1"/>
  <c r="O24" i="1"/>
  <c r="O31" i="1"/>
  <c r="X22" i="3"/>
  <c r="O32" i="1"/>
  <c r="X23" i="3"/>
  <c r="O33" i="1"/>
  <c r="X24" i="3"/>
  <c r="O34" i="1"/>
  <c r="X25" i="3"/>
  <c r="O35" i="1"/>
  <c r="O36" i="1"/>
  <c r="O37" i="1"/>
  <c r="O38" i="1"/>
  <c r="O30" i="1"/>
  <c r="O20" i="1"/>
  <c r="O89" i="1"/>
  <c r="O90" i="1"/>
  <c r="O91" i="1"/>
  <c r="O92" i="1"/>
  <c r="O93" i="1"/>
  <c r="O94" i="1"/>
  <c r="X18" i="5"/>
  <c r="O95" i="1"/>
  <c r="O96" i="1"/>
  <c r="O97" i="1"/>
  <c r="O98" i="1"/>
  <c r="O99" i="1"/>
  <c r="O100" i="1"/>
  <c r="O101" i="1"/>
  <c r="X25" i="5"/>
  <c r="O102" i="1"/>
  <c r="O88" i="1"/>
  <c r="O104" i="1"/>
  <c r="O105" i="1"/>
  <c r="O106" i="1"/>
  <c r="O107" i="1"/>
  <c r="O108" i="1"/>
  <c r="O103" i="1"/>
  <c r="O87" i="1"/>
  <c r="O111" i="1"/>
  <c r="O112" i="1"/>
  <c r="O113" i="1"/>
  <c r="O114" i="1"/>
  <c r="O115" i="1"/>
  <c r="O116" i="1"/>
  <c r="O117" i="1"/>
  <c r="O110" i="1"/>
  <c r="X20" i="6"/>
  <c r="O119" i="1"/>
  <c r="O120" i="1"/>
  <c r="O121" i="1"/>
  <c r="O122" i="1"/>
  <c r="O123" i="1"/>
  <c r="O124" i="1"/>
  <c r="O125" i="1"/>
  <c r="O118" i="1"/>
  <c r="O109" i="1"/>
  <c r="O8" i="1"/>
  <c r="P11" i="1"/>
  <c r="P12" i="1"/>
  <c r="P13" i="1"/>
  <c r="P14" i="1"/>
  <c r="P10" i="1"/>
  <c r="P16" i="1"/>
  <c r="P17" i="1"/>
  <c r="P18" i="1"/>
  <c r="P19" i="1"/>
  <c r="P15" i="1"/>
  <c r="P9" i="1"/>
  <c r="P22" i="1"/>
  <c r="P23" i="1"/>
  <c r="P21" i="1"/>
  <c r="P25" i="1"/>
  <c r="P26" i="1"/>
  <c r="P27" i="1"/>
  <c r="P28" i="1"/>
  <c r="P29" i="1"/>
  <c r="P24" i="1"/>
  <c r="P31" i="1"/>
  <c r="P32" i="1"/>
  <c r="P33" i="1"/>
  <c r="P34" i="1"/>
  <c r="P35" i="1"/>
  <c r="P36" i="1"/>
  <c r="P37" i="1"/>
  <c r="P38" i="1"/>
  <c r="P30" i="1"/>
  <c r="P20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88" i="1"/>
  <c r="P104" i="1"/>
  <c r="P105" i="1"/>
  <c r="P106" i="1"/>
  <c r="P107" i="1"/>
  <c r="P108" i="1"/>
  <c r="P103" i="1"/>
  <c r="P87" i="1"/>
  <c r="P111" i="1"/>
  <c r="P112" i="1"/>
  <c r="P113" i="1"/>
  <c r="P114" i="1"/>
  <c r="P115" i="1"/>
  <c r="P116" i="1"/>
  <c r="P117" i="1"/>
  <c r="P110" i="1"/>
  <c r="P119" i="1"/>
  <c r="P120" i="1"/>
  <c r="P121" i="1"/>
  <c r="P122" i="1"/>
  <c r="P123" i="1"/>
  <c r="P124" i="1"/>
  <c r="P125" i="1"/>
  <c r="P118" i="1"/>
  <c r="P109" i="1"/>
  <c r="P8" i="1"/>
  <c r="Q111" i="1"/>
  <c r="Q112" i="1"/>
  <c r="Q113" i="1"/>
  <c r="Q114" i="1"/>
  <c r="Q115" i="1"/>
  <c r="Q116" i="1"/>
  <c r="Q117" i="1"/>
  <c r="Q110" i="1"/>
  <c r="Q119" i="1"/>
  <c r="Q120" i="1"/>
  <c r="Q121" i="1"/>
  <c r="Q122" i="1"/>
  <c r="Q123" i="1"/>
  <c r="Q124" i="1"/>
  <c r="Q125" i="1"/>
  <c r="Q118" i="1"/>
  <c r="Q109" i="1"/>
  <c r="Q8" i="1"/>
  <c r="R11" i="1"/>
  <c r="R12" i="1"/>
  <c r="R13" i="1"/>
  <c r="R14" i="1"/>
  <c r="R10" i="1"/>
  <c r="R16" i="1"/>
  <c r="R17" i="1"/>
  <c r="R18" i="1"/>
  <c r="R19" i="1"/>
  <c r="R15" i="1"/>
  <c r="R9" i="1"/>
  <c r="R22" i="1"/>
  <c r="R23" i="1"/>
  <c r="R21" i="1"/>
  <c r="R25" i="1"/>
  <c r="R26" i="1"/>
  <c r="R27" i="1"/>
  <c r="R28" i="1"/>
  <c r="AH19" i="3"/>
  <c r="R29" i="1"/>
  <c r="R24" i="1"/>
  <c r="R31" i="1"/>
  <c r="R32" i="1"/>
  <c r="R33" i="1"/>
  <c r="R34" i="1"/>
  <c r="R35" i="1"/>
  <c r="R36" i="1"/>
  <c r="AH27" i="3"/>
  <c r="R37" i="1"/>
  <c r="R38" i="1"/>
  <c r="R30" i="1"/>
  <c r="R20" i="1"/>
  <c r="R89" i="1"/>
  <c r="AH13" i="5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88" i="1"/>
  <c r="R104" i="1"/>
  <c r="R105" i="1"/>
  <c r="R106" i="1"/>
  <c r="R107" i="1"/>
  <c r="AH31" i="5"/>
  <c r="R108" i="1"/>
  <c r="R103" i="1"/>
  <c r="R87" i="1"/>
  <c r="R111" i="1"/>
  <c r="R112" i="1"/>
  <c r="R113" i="1"/>
  <c r="R114" i="1"/>
  <c r="R115" i="1"/>
  <c r="R116" i="1"/>
  <c r="R117" i="1"/>
  <c r="R110" i="1"/>
  <c r="R119" i="1"/>
  <c r="R120" i="1"/>
  <c r="R121" i="1"/>
  <c r="AH23" i="6"/>
  <c r="R122" i="1"/>
  <c r="R123" i="1"/>
  <c r="AH25" i="6"/>
  <c r="R124" i="1"/>
  <c r="R125" i="1"/>
  <c r="R118" i="1"/>
  <c r="R109" i="1"/>
  <c r="R8" i="1"/>
  <c r="S11" i="1"/>
  <c r="S12" i="1"/>
  <c r="S13" i="1"/>
  <c r="S14" i="1"/>
  <c r="S10" i="1"/>
  <c r="S16" i="1"/>
  <c r="S17" i="1"/>
  <c r="S18" i="1"/>
  <c r="S19" i="1"/>
  <c r="S15" i="1"/>
  <c r="S9" i="1"/>
  <c r="S22" i="1"/>
  <c r="S23" i="1"/>
  <c r="S21" i="1"/>
  <c r="S25" i="1"/>
  <c r="S26" i="1"/>
  <c r="S27" i="1"/>
  <c r="S28" i="1"/>
  <c r="S29" i="1"/>
  <c r="S24" i="1"/>
  <c r="S31" i="1"/>
  <c r="AI22" i="3"/>
  <c r="S32" i="1"/>
  <c r="S33" i="1"/>
  <c r="S34" i="1"/>
  <c r="S35" i="1"/>
  <c r="S36" i="1"/>
  <c r="S37" i="1"/>
  <c r="S38" i="1"/>
  <c r="S30" i="1"/>
  <c r="S20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88" i="1"/>
  <c r="S104" i="1"/>
  <c r="S105" i="1"/>
  <c r="S106" i="1"/>
  <c r="S107" i="1"/>
  <c r="S108" i="1"/>
  <c r="S103" i="1"/>
  <c r="S87" i="1"/>
  <c r="S111" i="1"/>
  <c r="S112" i="1"/>
  <c r="S113" i="1"/>
  <c r="S114" i="1"/>
  <c r="S115" i="1"/>
  <c r="S116" i="1"/>
  <c r="S117" i="1"/>
  <c r="S110" i="1"/>
  <c r="S119" i="1"/>
  <c r="S120" i="1"/>
  <c r="S121" i="1"/>
  <c r="S122" i="1"/>
  <c r="S123" i="1"/>
  <c r="S124" i="1"/>
  <c r="S125" i="1"/>
  <c r="S118" i="1"/>
  <c r="S109" i="1"/>
  <c r="S8" i="1"/>
  <c r="T11" i="1"/>
  <c r="T12" i="1"/>
  <c r="T13" i="1"/>
  <c r="T14" i="1"/>
  <c r="T10" i="1"/>
  <c r="T16" i="1"/>
  <c r="T17" i="1"/>
  <c r="T18" i="1"/>
  <c r="T19" i="1"/>
  <c r="T15" i="1"/>
  <c r="T9" i="1"/>
  <c r="T22" i="1"/>
  <c r="T23" i="1"/>
  <c r="T21" i="1"/>
  <c r="T25" i="1"/>
  <c r="T26" i="1"/>
  <c r="T27" i="1"/>
  <c r="T28" i="1"/>
  <c r="AJ19" i="3"/>
  <c r="T29" i="1"/>
  <c r="T24" i="1"/>
  <c r="T31" i="1"/>
  <c r="T32" i="1"/>
  <c r="AJ23" i="3"/>
  <c r="T33" i="1"/>
  <c r="AJ24" i="3"/>
  <c r="T34" i="1"/>
  <c r="T35" i="1"/>
  <c r="T36" i="1"/>
  <c r="T37" i="1"/>
  <c r="T38" i="1"/>
  <c r="T30" i="1"/>
  <c r="T20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AJ25" i="5"/>
  <c r="T102" i="1"/>
  <c r="T88" i="1"/>
  <c r="T104" i="1"/>
  <c r="T105" i="1"/>
  <c r="T106" i="1"/>
  <c r="T107" i="1"/>
  <c r="T108" i="1"/>
  <c r="T103" i="1"/>
  <c r="T87" i="1"/>
  <c r="T111" i="1"/>
  <c r="T112" i="1"/>
  <c r="T113" i="1"/>
  <c r="AJ15" i="6"/>
  <c r="T114" i="1"/>
  <c r="T115" i="1"/>
  <c r="T116" i="1"/>
  <c r="T117" i="1"/>
  <c r="T110" i="1"/>
  <c r="AJ20" i="6"/>
  <c r="T119" i="1"/>
  <c r="T120" i="1"/>
  <c r="T121" i="1"/>
  <c r="T122" i="1"/>
  <c r="T123" i="1"/>
  <c r="T124" i="1"/>
  <c r="T125" i="1"/>
  <c r="T118" i="1"/>
  <c r="T109" i="1"/>
  <c r="T8" i="1"/>
  <c r="U11" i="1"/>
  <c r="U12" i="1"/>
  <c r="U13" i="1"/>
  <c r="U14" i="1"/>
  <c r="U10" i="1"/>
  <c r="U16" i="1"/>
  <c r="U17" i="1"/>
  <c r="U18" i="1"/>
  <c r="U19" i="1"/>
  <c r="U15" i="1"/>
  <c r="U9" i="1"/>
  <c r="U22" i="1"/>
  <c r="U23" i="1"/>
  <c r="U21" i="1"/>
  <c r="U25" i="1"/>
  <c r="U26" i="1"/>
  <c r="U27" i="1"/>
  <c r="U28" i="1"/>
  <c r="U29" i="1"/>
  <c r="U24" i="1"/>
  <c r="U31" i="1"/>
  <c r="U32" i="1"/>
  <c r="U33" i="1"/>
  <c r="U34" i="1"/>
  <c r="U35" i="1"/>
  <c r="U36" i="1"/>
  <c r="U37" i="1"/>
  <c r="U38" i="1"/>
  <c r="U30" i="1"/>
  <c r="U20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88" i="1"/>
  <c r="U104" i="1"/>
  <c r="U105" i="1"/>
  <c r="U106" i="1"/>
  <c r="U107" i="1"/>
  <c r="U108" i="1"/>
  <c r="U103" i="1"/>
  <c r="U87" i="1"/>
  <c r="U111" i="1"/>
  <c r="U112" i="1"/>
  <c r="U113" i="1"/>
  <c r="U114" i="1"/>
  <c r="U115" i="1"/>
  <c r="U116" i="1"/>
  <c r="U117" i="1"/>
  <c r="U110" i="1"/>
  <c r="U119" i="1"/>
  <c r="U120" i="1"/>
  <c r="U121" i="1"/>
  <c r="U122" i="1"/>
  <c r="U123" i="1"/>
  <c r="U124" i="1"/>
  <c r="U125" i="1"/>
  <c r="U118" i="1"/>
  <c r="U109" i="1"/>
  <c r="U8" i="1"/>
  <c r="V111" i="1"/>
  <c r="V112" i="1"/>
  <c r="V113" i="1"/>
  <c r="V114" i="1"/>
  <c r="V115" i="1"/>
  <c r="V116" i="1"/>
  <c r="V117" i="1"/>
  <c r="V110" i="1"/>
  <c r="V119" i="1"/>
  <c r="V120" i="1"/>
  <c r="V121" i="1"/>
  <c r="V122" i="1"/>
  <c r="V123" i="1"/>
  <c r="V124" i="1"/>
  <c r="V125" i="1"/>
  <c r="V118" i="1"/>
  <c r="V109" i="1"/>
  <c r="V8" i="1"/>
  <c r="X11" i="1"/>
  <c r="X12" i="1"/>
  <c r="X13" i="1"/>
  <c r="X14" i="1"/>
  <c r="X10" i="1"/>
  <c r="X16" i="1"/>
  <c r="X17" i="1"/>
  <c r="X18" i="1"/>
  <c r="X19" i="1"/>
  <c r="X15" i="1"/>
  <c r="X9" i="1"/>
  <c r="X22" i="1"/>
  <c r="X23" i="1"/>
  <c r="X21" i="1"/>
  <c r="X25" i="1"/>
  <c r="X26" i="1"/>
  <c r="X27" i="1"/>
  <c r="X28" i="1"/>
  <c r="X29" i="1"/>
  <c r="X24" i="1"/>
  <c r="X31" i="1"/>
  <c r="AU22" i="3"/>
  <c r="X32" i="1"/>
  <c r="X33" i="1"/>
  <c r="X34" i="1"/>
  <c r="X35" i="1"/>
  <c r="X36" i="1"/>
  <c r="X37" i="1"/>
  <c r="X38" i="1"/>
  <c r="X30" i="1"/>
  <c r="X20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88" i="1"/>
  <c r="X104" i="1"/>
  <c r="X105" i="1"/>
  <c r="X106" i="1"/>
  <c r="X107" i="1"/>
  <c r="X108" i="1"/>
  <c r="X103" i="1"/>
  <c r="X87" i="1"/>
  <c r="X111" i="1"/>
  <c r="X112" i="1"/>
  <c r="X113" i="1"/>
  <c r="X114" i="1"/>
  <c r="X115" i="1"/>
  <c r="X116" i="1"/>
  <c r="X117" i="1"/>
  <c r="X110" i="1"/>
  <c r="X119" i="1"/>
  <c r="X120" i="1"/>
  <c r="X121" i="1"/>
  <c r="X122" i="1"/>
  <c r="X123" i="1"/>
  <c r="X124" i="1"/>
  <c r="X125" i="1"/>
  <c r="X118" i="1"/>
  <c r="X109" i="1"/>
  <c r="X8" i="1"/>
  <c r="Y11" i="1"/>
  <c r="Y12" i="1"/>
  <c r="Y13" i="1"/>
  <c r="Y14" i="1"/>
  <c r="Y10" i="1"/>
  <c r="Y16" i="1"/>
  <c r="Y15" i="1"/>
  <c r="Y9" i="1"/>
  <c r="Y22" i="1"/>
  <c r="Y21" i="1"/>
  <c r="Y25" i="1"/>
  <c r="Y24" i="1"/>
  <c r="Y31" i="1"/>
  <c r="Y30" i="1"/>
  <c r="Y20" i="1"/>
  <c r="Y89" i="1"/>
  <c r="Y88" i="1"/>
  <c r="Y104" i="1"/>
  <c r="Y103" i="1"/>
  <c r="Y87" i="1"/>
  <c r="Y111" i="1"/>
  <c r="Y110" i="1"/>
  <c r="AV20" i="6"/>
  <c r="Y119" i="1"/>
  <c r="Y118" i="1"/>
  <c r="Y109" i="1"/>
  <c r="Y8" i="1"/>
  <c r="I11" i="1"/>
  <c r="I12" i="1"/>
  <c r="I13" i="1"/>
  <c r="I14" i="1"/>
  <c r="I10" i="1"/>
  <c r="I16" i="1"/>
  <c r="I17" i="1"/>
  <c r="I18" i="1"/>
  <c r="I19" i="1"/>
  <c r="I15" i="1"/>
  <c r="I9" i="1"/>
  <c r="I22" i="1"/>
  <c r="I23" i="1"/>
  <c r="I21" i="1"/>
  <c r="I25" i="1"/>
  <c r="I26" i="1"/>
  <c r="I27" i="1"/>
  <c r="I28" i="1"/>
  <c r="I29" i="1"/>
  <c r="I24" i="1"/>
  <c r="K21" i="3"/>
  <c r="I31" i="1"/>
  <c r="I32" i="1"/>
  <c r="I33" i="1"/>
  <c r="I34" i="1"/>
  <c r="I35" i="1"/>
  <c r="I36" i="1"/>
  <c r="I37" i="1"/>
  <c r="I38" i="1"/>
  <c r="I30" i="1"/>
  <c r="I20" i="1"/>
  <c r="I89" i="1"/>
  <c r="K13" i="5"/>
  <c r="I90" i="1"/>
  <c r="I91" i="1"/>
  <c r="I92" i="1"/>
  <c r="I93" i="1"/>
  <c r="I94" i="1"/>
  <c r="I95" i="1"/>
  <c r="J19" i="5"/>
  <c r="K19" i="5"/>
  <c r="I96" i="1"/>
  <c r="I97" i="1"/>
  <c r="I98" i="1"/>
  <c r="I99" i="1"/>
  <c r="I100" i="1"/>
  <c r="I101" i="1"/>
  <c r="I102" i="1"/>
  <c r="I88" i="1"/>
  <c r="I104" i="1"/>
  <c r="I105" i="1"/>
  <c r="I106" i="1"/>
  <c r="I107" i="1"/>
  <c r="I108" i="1"/>
  <c r="I103" i="1"/>
  <c r="I87" i="1"/>
  <c r="I111" i="1"/>
  <c r="I112" i="1"/>
  <c r="I113" i="1"/>
  <c r="I114" i="1"/>
  <c r="I115" i="1"/>
  <c r="I116" i="1"/>
  <c r="I117" i="1"/>
  <c r="I110" i="1"/>
  <c r="I119" i="1"/>
  <c r="I120" i="1"/>
  <c r="I121" i="1"/>
  <c r="I122" i="1"/>
  <c r="I123" i="1"/>
  <c r="K25" i="6"/>
  <c r="I124" i="1"/>
  <c r="I125" i="1"/>
  <c r="I118" i="1"/>
  <c r="I109" i="1"/>
  <c r="I8" i="1"/>
  <c r="J11" i="1"/>
  <c r="J12" i="1"/>
  <c r="J13" i="1"/>
  <c r="J14" i="1"/>
  <c r="J10" i="1"/>
  <c r="J16" i="1"/>
  <c r="J17" i="1"/>
  <c r="J18" i="1"/>
  <c r="J19" i="1"/>
  <c r="J15" i="1"/>
  <c r="J9" i="1"/>
  <c r="J22" i="1"/>
  <c r="J23" i="1"/>
  <c r="J21" i="1"/>
  <c r="J25" i="1"/>
  <c r="J26" i="1"/>
  <c r="J27" i="1"/>
  <c r="J28" i="1"/>
  <c r="J29" i="1"/>
  <c r="J24" i="1"/>
  <c r="J31" i="1"/>
  <c r="J32" i="1"/>
  <c r="J23" i="3"/>
  <c r="L23" i="3"/>
  <c r="J33" i="1"/>
  <c r="J24" i="3"/>
  <c r="L24" i="3"/>
  <c r="J34" i="1"/>
  <c r="J35" i="1"/>
  <c r="J36" i="1"/>
  <c r="J37" i="1"/>
  <c r="L28" i="3"/>
  <c r="J38" i="1"/>
  <c r="J30" i="1"/>
  <c r="J20" i="1"/>
  <c r="J12" i="5"/>
  <c r="L12" i="5"/>
  <c r="J89" i="1"/>
  <c r="J90" i="1"/>
  <c r="J91" i="1"/>
  <c r="J92" i="1"/>
  <c r="J93" i="1"/>
  <c r="J94" i="1"/>
  <c r="J18" i="5"/>
  <c r="L18" i="5"/>
  <c r="J95" i="1"/>
  <c r="J96" i="1"/>
  <c r="J20" i="5"/>
  <c r="L20" i="5"/>
  <c r="J97" i="1"/>
  <c r="J98" i="1"/>
  <c r="J99" i="1"/>
  <c r="J100" i="1"/>
  <c r="J24" i="5"/>
  <c r="L24" i="5"/>
  <c r="J101" i="1"/>
  <c r="J25" i="5"/>
  <c r="L25" i="5"/>
  <c r="J102" i="1"/>
  <c r="J88" i="1"/>
  <c r="J104" i="1"/>
  <c r="J105" i="1"/>
  <c r="J106" i="1"/>
  <c r="J107" i="1"/>
  <c r="J108" i="1"/>
  <c r="J103" i="1"/>
  <c r="J87" i="1"/>
  <c r="J111" i="1"/>
  <c r="J112" i="1"/>
  <c r="L14" i="6"/>
  <c r="J113" i="1"/>
  <c r="J15" i="6"/>
  <c r="L15" i="6"/>
  <c r="J114" i="1"/>
  <c r="L16" i="6"/>
  <c r="J115" i="1"/>
  <c r="J116" i="1"/>
  <c r="J117" i="1"/>
  <c r="J110" i="1"/>
  <c r="J20" i="6"/>
  <c r="L20" i="6"/>
  <c r="J119" i="1"/>
  <c r="J21" i="6"/>
  <c r="L21" i="6"/>
  <c r="J120" i="1"/>
  <c r="J22" i="6"/>
  <c r="L22" i="6"/>
  <c r="J121" i="1"/>
  <c r="J122" i="1"/>
  <c r="J123" i="1"/>
  <c r="L25" i="6"/>
  <c r="J124" i="1"/>
  <c r="L26" i="6"/>
  <c r="J125" i="1"/>
  <c r="J118" i="1"/>
  <c r="J109" i="1"/>
  <c r="J8" i="1"/>
  <c r="K11" i="1"/>
  <c r="K12" i="1"/>
  <c r="K13" i="1"/>
  <c r="K14" i="1"/>
  <c r="K10" i="1"/>
  <c r="K16" i="1"/>
  <c r="K17" i="1"/>
  <c r="K18" i="1"/>
  <c r="K19" i="1"/>
  <c r="K15" i="1"/>
  <c r="K9" i="1"/>
  <c r="K22" i="1"/>
  <c r="K23" i="1"/>
  <c r="K21" i="1"/>
  <c r="K25" i="1"/>
  <c r="K26" i="1"/>
  <c r="K27" i="1"/>
  <c r="K28" i="1"/>
  <c r="K29" i="1"/>
  <c r="K24" i="1"/>
  <c r="K31" i="1"/>
  <c r="K32" i="1"/>
  <c r="K33" i="1"/>
  <c r="K34" i="1"/>
  <c r="K35" i="1"/>
  <c r="K36" i="1"/>
  <c r="K37" i="1"/>
  <c r="K38" i="1"/>
  <c r="K30" i="1"/>
  <c r="K20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88" i="1"/>
  <c r="K104" i="1"/>
  <c r="K105" i="1"/>
  <c r="K106" i="1"/>
  <c r="K107" i="1"/>
  <c r="K108" i="1"/>
  <c r="K103" i="1"/>
  <c r="K87" i="1"/>
  <c r="K111" i="1"/>
  <c r="K112" i="1"/>
  <c r="K113" i="1"/>
  <c r="K114" i="1"/>
  <c r="K115" i="1"/>
  <c r="K116" i="1"/>
  <c r="K117" i="1"/>
  <c r="K110" i="1"/>
  <c r="K119" i="1"/>
  <c r="K120" i="1"/>
  <c r="K121" i="1"/>
  <c r="K122" i="1"/>
  <c r="K123" i="1"/>
  <c r="K124" i="1"/>
  <c r="K125" i="1"/>
  <c r="K118" i="1"/>
  <c r="K109" i="1"/>
  <c r="K8" i="1"/>
  <c r="H11" i="1"/>
  <c r="H12" i="1"/>
  <c r="H13" i="1"/>
  <c r="H14" i="1"/>
  <c r="H10" i="1"/>
  <c r="H16" i="1"/>
  <c r="H17" i="1"/>
  <c r="H18" i="1"/>
  <c r="H19" i="1"/>
  <c r="H15" i="1"/>
  <c r="H9" i="1"/>
  <c r="H22" i="1"/>
  <c r="H23" i="1"/>
  <c r="H21" i="1"/>
  <c r="H25" i="1"/>
  <c r="H26" i="1"/>
  <c r="H27" i="1"/>
  <c r="H28" i="1"/>
  <c r="H29" i="1"/>
  <c r="H24" i="1"/>
  <c r="H31" i="1"/>
  <c r="H32" i="1"/>
  <c r="H33" i="1"/>
  <c r="H34" i="1"/>
  <c r="H35" i="1"/>
  <c r="H36" i="1"/>
  <c r="H37" i="1"/>
  <c r="H38" i="1"/>
  <c r="H30" i="1"/>
  <c r="H20" i="1"/>
  <c r="H89" i="1"/>
  <c r="H90" i="1"/>
  <c r="J14" i="5"/>
  <c r="H91" i="1"/>
  <c r="J15" i="5"/>
  <c r="H92" i="1"/>
  <c r="J16" i="5"/>
  <c r="H93" i="1"/>
  <c r="J17" i="5"/>
  <c r="H94" i="1"/>
  <c r="H95" i="1"/>
  <c r="H96" i="1"/>
  <c r="H97" i="1"/>
  <c r="J21" i="5"/>
  <c r="H98" i="1"/>
  <c r="J22" i="5"/>
  <c r="H99" i="1"/>
  <c r="J23" i="5"/>
  <c r="H100" i="1"/>
  <c r="H101" i="1"/>
  <c r="H102" i="1"/>
  <c r="H88" i="1"/>
  <c r="H104" i="1"/>
  <c r="H105" i="1"/>
  <c r="H106" i="1"/>
  <c r="J30" i="5"/>
  <c r="H107" i="1"/>
  <c r="J31" i="5"/>
  <c r="H108" i="1"/>
  <c r="H103" i="1"/>
  <c r="H87" i="1"/>
  <c r="H111" i="1"/>
  <c r="J13" i="6"/>
  <c r="H112" i="1"/>
  <c r="H113" i="1"/>
  <c r="H114" i="1"/>
  <c r="H115" i="1"/>
  <c r="H116" i="1"/>
  <c r="H117" i="1"/>
  <c r="H110" i="1"/>
  <c r="H119" i="1"/>
  <c r="H120" i="1"/>
  <c r="H121" i="1"/>
  <c r="H122" i="1"/>
  <c r="H123" i="1"/>
  <c r="J25" i="6"/>
  <c r="H124" i="1"/>
  <c r="H125" i="1"/>
  <c r="H118" i="1"/>
  <c r="H109" i="1"/>
  <c r="H8" i="1"/>
  <c r="U18" i="4"/>
  <c r="V18" i="4"/>
  <c r="X18" i="4"/>
  <c r="K18" i="4"/>
  <c r="L18" i="4"/>
  <c r="J18" i="4"/>
  <c r="B120" i="1"/>
  <c r="B121" i="1"/>
  <c r="B122" i="1"/>
  <c r="B123" i="1"/>
  <c r="B124" i="1"/>
  <c r="B125" i="1"/>
  <c r="B119" i="1"/>
  <c r="B112" i="1"/>
  <c r="B113" i="1"/>
  <c r="B114" i="1"/>
  <c r="B115" i="1"/>
  <c r="B116" i="1"/>
  <c r="B117" i="1"/>
  <c r="B111" i="1"/>
  <c r="B105" i="1"/>
  <c r="B106" i="1"/>
  <c r="B107" i="1"/>
  <c r="B108" i="1"/>
  <c r="B104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89" i="1"/>
  <c r="B61" i="1"/>
  <c r="B62" i="1"/>
  <c r="B63" i="1"/>
  <c r="B64" i="1"/>
  <c r="B65" i="1"/>
  <c r="B66" i="1"/>
  <c r="B67" i="1"/>
  <c r="B68" i="1"/>
  <c r="B69" i="1"/>
  <c r="B70" i="1"/>
  <c r="B71" i="1"/>
  <c r="B60" i="1"/>
  <c r="B56" i="1"/>
  <c r="B57" i="1"/>
  <c r="B58" i="1"/>
  <c r="B55" i="1"/>
  <c r="B53" i="1"/>
  <c r="B49" i="1"/>
  <c r="B50" i="1"/>
  <c r="B51" i="1"/>
  <c r="B52" i="1"/>
  <c r="B48" i="1"/>
  <c r="B42" i="1"/>
  <c r="B43" i="1"/>
  <c r="B44" i="1"/>
  <c r="B45" i="1"/>
  <c r="B46" i="1"/>
  <c r="B41" i="1"/>
  <c r="B32" i="1"/>
  <c r="B33" i="1"/>
  <c r="B34" i="1"/>
  <c r="B35" i="1"/>
  <c r="B36" i="1"/>
  <c r="B37" i="1"/>
  <c r="B38" i="1"/>
  <c r="B31" i="1"/>
  <c r="B26" i="1"/>
  <c r="B27" i="1"/>
  <c r="B28" i="1"/>
  <c r="B29" i="1"/>
  <c r="B25" i="1"/>
  <c r="B9" i="1"/>
  <c r="B17" i="1"/>
  <c r="B18" i="1"/>
  <c r="B19" i="1"/>
  <c r="B16" i="1"/>
  <c r="B12" i="1"/>
  <c r="B13" i="1"/>
  <c r="B14" i="1"/>
  <c r="B11" i="1"/>
  <c r="AS12" i="2"/>
  <c r="AW12" i="2"/>
  <c r="AS14" i="2"/>
  <c r="AW14" i="2"/>
  <c r="AW11" i="2"/>
  <c r="AW10" i="2"/>
  <c r="AW9" i="2"/>
  <c r="W11" i="2"/>
  <c r="W10" i="2"/>
  <c r="W9" i="2"/>
  <c r="AW11" i="3"/>
  <c r="AW14" i="3"/>
  <c r="AW20" i="3"/>
  <c r="AW10" i="3"/>
  <c r="AW9" i="3"/>
  <c r="W11" i="3"/>
  <c r="W14" i="3"/>
  <c r="W20" i="3"/>
  <c r="W10" i="3"/>
  <c r="W9" i="3"/>
  <c r="X16" i="2"/>
  <c r="X11" i="2"/>
  <c r="X10" i="2"/>
  <c r="X9" i="2"/>
  <c r="Y11" i="2"/>
  <c r="Y16" i="2"/>
  <c r="Y10" i="2"/>
  <c r="Y9" i="2"/>
  <c r="D7" i="8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10" i="7"/>
  <c r="D10" i="7"/>
  <c r="E10" i="7"/>
  <c r="C11" i="7"/>
  <c r="D11" i="7"/>
  <c r="E11" i="7"/>
  <c r="C12" i="7"/>
  <c r="D12" i="7"/>
  <c r="E12" i="7"/>
  <c r="J19" i="6"/>
  <c r="J11" i="6"/>
  <c r="J10" i="6"/>
  <c r="J9" i="6"/>
  <c r="K19" i="6"/>
  <c r="K11" i="6"/>
  <c r="K10" i="6"/>
  <c r="K9" i="6"/>
  <c r="L19" i="6"/>
  <c r="L11" i="6"/>
  <c r="L10" i="6"/>
  <c r="L9" i="6"/>
  <c r="M11" i="6"/>
  <c r="M19" i="6"/>
  <c r="M10" i="6"/>
  <c r="M9" i="6"/>
  <c r="O19" i="6"/>
  <c r="O11" i="6"/>
  <c r="O10" i="6"/>
  <c r="O9" i="6"/>
  <c r="P11" i="6"/>
  <c r="P19" i="6"/>
  <c r="P10" i="6"/>
  <c r="P9" i="6"/>
  <c r="Q11" i="6"/>
  <c r="Q19" i="6"/>
  <c r="Q10" i="6"/>
  <c r="Q9" i="6"/>
  <c r="R11" i="6"/>
  <c r="R19" i="6"/>
  <c r="R10" i="6"/>
  <c r="R9" i="6"/>
  <c r="S11" i="6"/>
  <c r="S19" i="6"/>
  <c r="S10" i="6"/>
  <c r="S9" i="6"/>
  <c r="T11" i="6"/>
  <c r="T19" i="6"/>
  <c r="T10" i="6"/>
  <c r="T9" i="6"/>
  <c r="V19" i="6"/>
  <c r="V11" i="6"/>
  <c r="V10" i="6"/>
  <c r="V9" i="6"/>
  <c r="X11" i="6"/>
  <c r="X19" i="6"/>
  <c r="X10" i="6"/>
  <c r="X9" i="6"/>
  <c r="Y11" i="6"/>
  <c r="Y19" i="6"/>
  <c r="Y10" i="6"/>
  <c r="Y9" i="6"/>
  <c r="AA19" i="6"/>
  <c r="AA11" i="6"/>
  <c r="AA10" i="6"/>
  <c r="AA9" i="6"/>
  <c r="AB11" i="6"/>
  <c r="AB19" i="6"/>
  <c r="AB10" i="6"/>
  <c r="AB9" i="6"/>
  <c r="AC11" i="6"/>
  <c r="AC19" i="6"/>
  <c r="AC10" i="6"/>
  <c r="AC9" i="6"/>
  <c r="AD11" i="6"/>
  <c r="AD19" i="6"/>
  <c r="AD10" i="6"/>
  <c r="AD9" i="6"/>
  <c r="AE11" i="6"/>
  <c r="AE19" i="6"/>
  <c r="AE10" i="6"/>
  <c r="AE9" i="6"/>
  <c r="AF11" i="6"/>
  <c r="AF19" i="6"/>
  <c r="AF10" i="6"/>
  <c r="AF9" i="6"/>
  <c r="AH19" i="6"/>
  <c r="AH11" i="6"/>
  <c r="AH10" i="6"/>
  <c r="AH9" i="6"/>
  <c r="AI11" i="6"/>
  <c r="AI19" i="6"/>
  <c r="AI10" i="6"/>
  <c r="AI9" i="6"/>
  <c r="AJ11" i="6"/>
  <c r="AJ19" i="6"/>
  <c r="AJ10" i="6"/>
  <c r="AJ9" i="6"/>
  <c r="AK11" i="6"/>
  <c r="AK19" i="6"/>
  <c r="AK10" i="6"/>
  <c r="AK9" i="6"/>
  <c r="AM19" i="6"/>
  <c r="AM11" i="6"/>
  <c r="AM10" i="6"/>
  <c r="AM9" i="6"/>
  <c r="AN11" i="6"/>
  <c r="AN19" i="6"/>
  <c r="AN10" i="6"/>
  <c r="AN9" i="6"/>
  <c r="AO11" i="6"/>
  <c r="AO19" i="6"/>
  <c r="AO10" i="6"/>
  <c r="AO9" i="6"/>
  <c r="AP11" i="6"/>
  <c r="AP19" i="6"/>
  <c r="AP10" i="6"/>
  <c r="AP9" i="6"/>
  <c r="AQ11" i="6"/>
  <c r="AQ19" i="6"/>
  <c r="AQ10" i="6"/>
  <c r="AQ9" i="6"/>
  <c r="AR11" i="6"/>
  <c r="AR19" i="6"/>
  <c r="AR10" i="6"/>
  <c r="AR9" i="6"/>
  <c r="AT19" i="6"/>
  <c r="AT11" i="6"/>
  <c r="AT10" i="6"/>
  <c r="AT9" i="6"/>
  <c r="AU11" i="6"/>
  <c r="AU19" i="6"/>
  <c r="AU10" i="6"/>
  <c r="AU9" i="6"/>
  <c r="AV11" i="6"/>
  <c r="AV19" i="6"/>
  <c r="AV10" i="6"/>
  <c r="AV9" i="6"/>
  <c r="G50" i="6"/>
  <c r="G52" i="6"/>
  <c r="J11" i="5"/>
  <c r="J26" i="5"/>
  <c r="J10" i="5"/>
  <c r="J9" i="5"/>
  <c r="K11" i="5"/>
  <c r="K26" i="5"/>
  <c r="K10" i="5"/>
  <c r="K9" i="5"/>
  <c r="L11" i="5"/>
  <c r="L26" i="5"/>
  <c r="L10" i="5"/>
  <c r="L9" i="5"/>
  <c r="M11" i="5"/>
  <c r="M26" i="5"/>
  <c r="M10" i="5"/>
  <c r="M9" i="5"/>
  <c r="O11" i="5"/>
  <c r="O26" i="5"/>
  <c r="O10" i="5"/>
  <c r="O9" i="5"/>
  <c r="P11" i="5"/>
  <c r="P26" i="5"/>
  <c r="P10" i="5"/>
  <c r="P9" i="5"/>
  <c r="Q11" i="5"/>
  <c r="Q26" i="5"/>
  <c r="Q10" i="5"/>
  <c r="Q9" i="5"/>
  <c r="R11" i="5"/>
  <c r="R26" i="5"/>
  <c r="R10" i="5"/>
  <c r="R9" i="5"/>
  <c r="S11" i="5"/>
  <c r="S26" i="5"/>
  <c r="S10" i="5"/>
  <c r="S9" i="5"/>
  <c r="T11" i="5"/>
  <c r="T26" i="5"/>
  <c r="T10" i="5"/>
  <c r="T9" i="5"/>
  <c r="U9" i="5"/>
  <c r="V11" i="5"/>
  <c r="V26" i="5"/>
  <c r="V10" i="5"/>
  <c r="V9" i="5"/>
  <c r="X11" i="5"/>
  <c r="X26" i="5"/>
  <c r="X10" i="5"/>
  <c r="X9" i="5"/>
  <c r="Y11" i="5"/>
  <c r="Y26" i="5"/>
  <c r="Y10" i="5"/>
  <c r="Y9" i="5"/>
  <c r="AA11" i="5"/>
  <c r="AA26" i="5"/>
  <c r="AA10" i="5"/>
  <c r="AA9" i="5"/>
  <c r="AB11" i="5"/>
  <c r="AB26" i="5"/>
  <c r="AB10" i="5"/>
  <c r="AB9" i="5"/>
  <c r="AC11" i="5"/>
  <c r="AC26" i="5"/>
  <c r="AC10" i="5"/>
  <c r="AC9" i="5"/>
  <c r="AD11" i="5"/>
  <c r="AD26" i="5"/>
  <c r="AD10" i="5"/>
  <c r="AD9" i="5"/>
  <c r="AE11" i="5"/>
  <c r="AE26" i="5"/>
  <c r="AE10" i="5"/>
  <c r="AE9" i="5"/>
  <c r="AF11" i="5"/>
  <c r="AF26" i="5"/>
  <c r="AF10" i="5"/>
  <c r="AF9" i="5"/>
  <c r="AG9" i="5"/>
  <c r="AH11" i="5"/>
  <c r="AH26" i="5"/>
  <c r="AH10" i="5"/>
  <c r="AH9" i="5"/>
  <c r="AI11" i="5"/>
  <c r="AI26" i="5"/>
  <c r="AI10" i="5"/>
  <c r="AI9" i="5"/>
  <c r="AJ11" i="5"/>
  <c r="AJ26" i="5"/>
  <c r="AJ10" i="5"/>
  <c r="AJ9" i="5"/>
  <c r="AK11" i="5"/>
  <c r="AK26" i="5"/>
  <c r="AK10" i="5"/>
  <c r="AK9" i="5"/>
  <c r="AM11" i="5"/>
  <c r="AM26" i="5"/>
  <c r="AM10" i="5"/>
  <c r="AM9" i="5"/>
  <c r="AN11" i="5"/>
  <c r="AN26" i="5"/>
  <c r="AN10" i="5"/>
  <c r="AN9" i="5"/>
  <c r="AO11" i="5"/>
  <c r="AO26" i="5"/>
  <c r="AO10" i="5"/>
  <c r="AO9" i="5"/>
  <c r="AP11" i="5"/>
  <c r="AP26" i="5"/>
  <c r="AP10" i="5"/>
  <c r="AP9" i="5"/>
  <c r="AQ11" i="5"/>
  <c r="AQ26" i="5"/>
  <c r="AQ10" i="5"/>
  <c r="AQ9" i="5"/>
  <c r="AR11" i="5"/>
  <c r="AR26" i="5"/>
  <c r="AR10" i="5"/>
  <c r="AR9" i="5"/>
  <c r="AS9" i="5"/>
  <c r="AT11" i="5"/>
  <c r="AT26" i="5"/>
  <c r="AT10" i="5"/>
  <c r="AT9" i="5"/>
  <c r="AU11" i="5"/>
  <c r="AU26" i="5"/>
  <c r="AU10" i="5"/>
  <c r="AU9" i="5"/>
  <c r="AV11" i="5"/>
  <c r="AV26" i="5"/>
  <c r="AV10" i="5"/>
  <c r="AV9" i="5"/>
  <c r="J25" i="4"/>
  <c r="J30" i="4"/>
  <c r="J43" i="4"/>
  <c r="J11" i="4"/>
  <c r="J10" i="4"/>
  <c r="J9" i="4"/>
  <c r="K43" i="4"/>
  <c r="K11" i="4"/>
  <c r="K25" i="4"/>
  <c r="K30" i="4"/>
  <c r="K10" i="4"/>
  <c r="K9" i="4"/>
  <c r="L25" i="4"/>
  <c r="L30" i="4"/>
  <c r="L43" i="4"/>
  <c r="L11" i="4"/>
  <c r="L10" i="4"/>
  <c r="L9" i="4"/>
  <c r="M11" i="4"/>
  <c r="M18" i="4"/>
  <c r="M25" i="4"/>
  <c r="M30" i="4"/>
  <c r="M43" i="4"/>
  <c r="M10" i="4"/>
  <c r="M9" i="4"/>
  <c r="O43" i="4"/>
  <c r="O18" i="4"/>
  <c r="O11" i="4"/>
  <c r="O25" i="4"/>
  <c r="O30" i="4"/>
  <c r="O10" i="4"/>
  <c r="O9" i="4"/>
  <c r="P11" i="4"/>
  <c r="P18" i="4"/>
  <c r="P25" i="4"/>
  <c r="P30" i="4"/>
  <c r="P43" i="4"/>
  <c r="P10" i="4"/>
  <c r="P9" i="4"/>
  <c r="Q18" i="4"/>
  <c r="Q25" i="4"/>
  <c r="Q30" i="4"/>
  <c r="Q11" i="4"/>
  <c r="Q43" i="4"/>
  <c r="Q10" i="4"/>
  <c r="Q9" i="4"/>
  <c r="R11" i="4"/>
  <c r="R18" i="4"/>
  <c r="R25" i="4"/>
  <c r="R30" i="4"/>
  <c r="R43" i="4"/>
  <c r="R10" i="4"/>
  <c r="R9" i="4"/>
  <c r="S11" i="4"/>
  <c r="S18" i="4"/>
  <c r="S25" i="4"/>
  <c r="S30" i="4"/>
  <c r="S43" i="4"/>
  <c r="S10" i="4"/>
  <c r="S9" i="4"/>
  <c r="T11" i="4"/>
  <c r="T18" i="4"/>
  <c r="T25" i="4"/>
  <c r="T30" i="4"/>
  <c r="T43" i="4"/>
  <c r="T10" i="4"/>
  <c r="T9" i="4"/>
  <c r="U25" i="4"/>
  <c r="U30" i="4"/>
  <c r="U43" i="4"/>
  <c r="U11" i="4"/>
  <c r="U10" i="4"/>
  <c r="U9" i="4"/>
  <c r="V43" i="4"/>
  <c r="V11" i="4"/>
  <c r="V25" i="4"/>
  <c r="V30" i="4"/>
  <c r="V10" i="4"/>
  <c r="V9" i="4"/>
  <c r="X25" i="4"/>
  <c r="X30" i="4"/>
  <c r="X43" i="4"/>
  <c r="X11" i="4"/>
  <c r="X10" i="4"/>
  <c r="X9" i="4"/>
  <c r="Y11" i="4"/>
  <c r="Y18" i="4"/>
  <c r="Y25" i="4"/>
  <c r="Y30" i="4"/>
  <c r="Y43" i="4"/>
  <c r="Y10" i="4"/>
  <c r="Y9" i="4"/>
  <c r="AA43" i="4"/>
  <c r="AA11" i="4"/>
  <c r="AA18" i="4"/>
  <c r="AA25" i="4"/>
  <c r="AA30" i="4"/>
  <c r="AA10" i="4"/>
  <c r="AA9" i="4"/>
  <c r="AB11" i="4"/>
  <c r="AB18" i="4"/>
  <c r="AB25" i="4"/>
  <c r="AB30" i="4"/>
  <c r="AB43" i="4"/>
  <c r="AB10" i="4"/>
  <c r="AB9" i="4"/>
  <c r="AC18" i="4"/>
  <c r="AC11" i="4"/>
  <c r="AC25" i="4"/>
  <c r="AC30" i="4"/>
  <c r="AC43" i="4"/>
  <c r="AC10" i="4"/>
  <c r="AC9" i="4"/>
  <c r="AD11" i="4"/>
  <c r="AD18" i="4"/>
  <c r="AD25" i="4"/>
  <c r="AD30" i="4"/>
  <c r="AD43" i="4"/>
  <c r="AD10" i="4"/>
  <c r="AD9" i="4"/>
  <c r="AE11" i="4"/>
  <c r="AE18" i="4"/>
  <c r="AE25" i="4"/>
  <c r="AE30" i="4"/>
  <c r="AE43" i="4"/>
  <c r="AE10" i="4"/>
  <c r="AE9" i="4"/>
  <c r="AF11" i="4"/>
  <c r="AF18" i="4"/>
  <c r="AF25" i="4"/>
  <c r="AF30" i="4"/>
  <c r="AF43" i="4"/>
  <c r="AF10" i="4"/>
  <c r="AF9" i="4"/>
  <c r="AG18" i="4"/>
  <c r="AG43" i="4"/>
  <c r="AG11" i="4"/>
  <c r="AG25" i="4"/>
  <c r="AG30" i="4"/>
  <c r="AG10" i="4"/>
  <c r="AG9" i="4"/>
  <c r="AH43" i="4"/>
  <c r="AH11" i="4"/>
  <c r="AH18" i="4"/>
  <c r="AH25" i="4"/>
  <c r="AH30" i="4"/>
  <c r="AH10" i="4"/>
  <c r="AH9" i="4"/>
  <c r="AI11" i="4"/>
  <c r="AI18" i="4"/>
  <c r="AI25" i="4"/>
  <c r="AI30" i="4"/>
  <c r="AI43" i="4"/>
  <c r="AI10" i="4"/>
  <c r="AI9" i="4"/>
  <c r="AJ18" i="4"/>
  <c r="AJ43" i="4"/>
  <c r="AJ11" i="4"/>
  <c r="AJ25" i="4"/>
  <c r="AJ30" i="4"/>
  <c r="AJ10" i="4"/>
  <c r="AJ9" i="4"/>
  <c r="AK11" i="4"/>
  <c r="AK18" i="4"/>
  <c r="AK25" i="4"/>
  <c r="AK30" i="4"/>
  <c r="AK43" i="4"/>
  <c r="AK10" i="4"/>
  <c r="AK9" i="4"/>
  <c r="AM43" i="4"/>
  <c r="AM11" i="4"/>
  <c r="AM18" i="4"/>
  <c r="AM25" i="4"/>
  <c r="AM30" i="4"/>
  <c r="AM10" i="4"/>
  <c r="AM9" i="4"/>
  <c r="AN11" i="4"/>
  <c r="AN18" i="4"/>
  <c r="AN25" i="4"/>
  <c r="AN30" i="4"/>
  <c r="AN43" i="4"/>
  <c r="AN10" i="4"/>
  <c r="AN9" i="4"/>
  <c r="AO11" i="4"/>
  <c r="AO18" i="4"/>
  <c r="AO25" i="4"/>
  <c r="AO30" i="4"/>
  <c r="AO43" i="4"/>
  <c r="AO10" i="4"/>
  <c r="AO9" i="4"/>
  <c r="AP11" i="4"/>
  <c r="AP18" i="4"/>
  <c r="AP25" i="4"/>
  <c r="AP30" i="4"/>
  <c r="AP43" i="4"/>
  <c r="AP10" i="4"/>
  <c r="AP9" i="4"/>
  <c r="AQ11" i="4"/>
  <c r="AQ18" i="4"/>
  <c r="AQ25" i="4"/>
  <c r="AQ30" i="4"/>
  <c r="AQ43" i="4"/>
  <c r="AQ10" i="4"/>
  <c r="AQ9" i="4"/>
  <c r="AR11" i="4"/>
  <c r="AR18" i="4"/>
  <c r="AR25" i="4"/>
  <c r="AR30" i="4"/>
  <c r="AR43" i="4"/>
  <c r="AR10" i="4"/>
  <c r="AR9" i="4"/>
  <c r="AS43" i="4"/>
  <c r="AS11" i="4"/>
  <c r="AS18" i="4"/>
  <c r="AS25" i="4"/>
  <c r="AS30" i="4"/>
  <c r="AS10" i="4"/>
  <c r="AS9" i="4"/>
  <c r="AT43" i="4"/>
  <c r="AT11" i="4"/>
  <c r="AT18" i="4"/>
  <c r="AT25" i="4"/>
  <c r="AT30" i="4"/>
  <c r="AT10" i="4"/>
  <c r="AT9" i="4"/>
  <c r="AU11" i="4"/>
  <c r="AU18" i="4"/>
  <c r="AU25" i="4"/>
  <c r="AU30" i="4"/>
  <c r="AU43" i="4"/>
  <c r="AU10" i="4"/>
  <c r="AU9" i="4"/>
  <c r="AV43" i="4"/>
  <c r="AV11" i="4"/>
  <c r="AV18" i="4"/>
  <c r="AV25" i="4"/>
  <c r="AV30" i="4"/>
  <c r="AV10" i="4"/>
  <c r="AV9" i="4"/>
  <c r="J11" i="3"/>
  <c r="J20" i="3"/>
  <c r="J14" i="3"/>
  <c r="J10" i="3"/>
  <c r="J9" i="3"/>
  <c r="K11" i="3"/>
  <c r="K20" i="3"/>
  <c r="K14" i="3"/>
  <c r="K10" i="3"/>
  <c r="K9" i="3"/>
  <c r="L20" i="3"/>
  <c r="L14" i="3"/>
  <c r="L11" i="3"/>
  <c r="L10" i="3"/>
  <c r="L9" i="3"/>
  <c r="M11" i="3"/>
  <c r="M14" i="3"/>
  <c r="M20" i="3"/>
  <c r="M10" i="3"/>
  <c r="M9" i="3"/>
  <c r="O11" i="3"/>
  <c r="O20" i="3"/>
  <c r="O14" i="3"/>
  <c r="O10" i="3"/>
  <c r="O9" i="3"/>
  <c r="P20" i="3"/>
  <c r="P11" i="3"/>
  <c r="P14" i="3"/>
  <c r="P10" i="3"/>
  <c r="P9" i="3"/>
  <c r="Q20" i="3"/>
  <c r="Q14" i="3"/>
  <c r="Q11" i="3"/>
  <c r="Q10" i="3"/>
  <c r="Q9" i="3"/>
  <c r="R11" i="3"/>
  <c r="R14" i="3"/>
  <c r="R20" i="3"/>
  <c r="R10" i="3"/>
  <c r="R9" i="3"/>
  <c r="S11" i="3"/>
  <c r="S14" i="3"/>
  <c r="S20" i="3"/>
  <c r="S10" i="3"/>
  <c r="S9" i="3"/>
  <c r="T11" i="3"/>
  <c r="T14" i="3"/>
  <c r="T20" i="3"/>
  <c r="T10" i="3"/>
  <c r="T9" i="3"/>
  <c r="U11" i="3"/>
  <c r="U20" i="3"/>
  <c r="U14" i="3"/>
  <c r="U10" i="3"/>
  <c r="U9" i="3"/>
  <c r="V11" i="3"/>
  <c r="V20" i="3"/>
  <c r="V14" i="3"/>
  <c r="V10" i="3"/>
  <c r="V9" i="3"/>
  <c r="X20" i="3"/>
  <c r="X14" i="3"/>
  <c r="X11" i="3"/>
  <c r="X10" i="3"/>
  <c r="X9" i="3"/>
  <c r="Y11" i="3"/>
  <c r="Y14" i="3"/>
  <c r="Y20" i="3"/>
  <c r="Y10" i="3"/>
  <c r="Y9" i="3"/>
  <c r="AA20" i="3"/>
  <c r="AA11" i="3"/>
  <c r="AA14" i="3"/>
  <c r="AA10" i="3"/>
  <c r="AA9" i="3"/>
  <c r="AB11" i="3"/>
  <c r="AB14" i="3"/>
  <c r="AB20" i="3"/>
  <c r="AB10" i="3"/>
  <c r="AB9" i="3"/>
  <c r="AC11" i="3"/>
  <c r="AC14" i="3"/>
  <c r="AC20" i="3"/>
  <c r="AC10" i="3"/>
  <c r="AC9" i="3"/>
  <c r="AD11" i="3"/>
  <c r="AD14" i="3"/>
  <c r="AD20" i="3"/>
  <c r="AD10" i="3"/>
  <c r="AD9" i="3"/>
  <c r="AE20" i="3"/>
  <c r="AE11" i="3"/>
  <c r="AE14" i="3"/>
  <c r="AE10" i="3"/>
  <c r="AE9" i="3"/>
  <c r="AF20" i="3"/>
  <c r="AF11" i="3"/>
  <c r="AF14" i="3"/>
  <c r="AF10" i="3"/>
  <c r="AF9" i="3"/>
  <c r="AG20" i="3"/>
  <c r="AG11" i="3"/>
  <c r="AG14" i="3"/>
  <c r="AG10" i="3"/>
  <c r="AG9" i="3"/>
  <c r="AH20" i="3"/>
  <c r="AH11" i="3"/>
  <c r="AH14" i="3"/>
  <c r="AH10" i="3"/>
  <c r="AH9" i="3"/>
  <c r="AI20" i="3"/>
  <c r="AI11" i="3"/>
  <c r="AI14" i="3"/>
  <c r="AI10" i="3"/>
  <c r="AI9" i="3"/>
  <c r="AJ11" i="3"/>
  <c r="AJ14" i="3"/>
  <c r="AJ20" i="3"/>
  <c r="AJ10" i="3"/>
  <c r="AJ9" i="3"/>
  <c r="AK11" i="3"/>
  <c r="AK14" i="3"/>
  <c r="AK20" i="3"/>
  <c r="AK10" i="3"/>
  <c r="AK9" i="3"/>
  <c r="AM11" i="3"/>
  <c r="AM14" i="3"/>
  <c r="AM23" i="3"/>
  <c r="AM20" i="3"/>
  <c r="AM10" i="3"/>
  <c r="AM9" i="3"/>
  <c r="AN11" i="3"/>
  <c r="AN14" i="3"/>
  <c r="AN20" i="3"/>
  <c r="AN10" i="3"/>
  <c r="AN9" i="3"/>
  <c r="AO20" i="3"/>
  <c r="AO11" i="3"/>
  <c r="AO14" i="3"/>
  <c r="AO10" i="3"/>
  <c r="AO9" i="3"/>
  <c r="AP20" i="3"/>
  <c r="AP11" i="3"/>
  <c r="AP14" i="3"/>
  <c r="AP10" i="3"/>
  <c r="AP9" i="3"/>
  <c r="AQ20" i="3"/>
  <c r="AQ11" i="3"/>
  <c r="AQ14" i="3"/>
  <c r="AQ10" i="3"/>
  <c r="AQ9" i="3"/>
  <c r="AR20" i="3"/>
  <c r="AR11" i="3"/>
  <c r="AR14" i="3"/>
  <c r="AR10" i="3"/>
  <c r="AR9" i="3"/>
  <c r="AS20" i="3"/>
  <c r="AS11" i="3"/>
  <c r="AS14" i="3"/>
  <c r="AS10" i="3"/>
  <c r="AS9" i="3"/>
  <c r="AT11" i="3"/>
  <c r="AT14" i="3"/>
  <c r="AT20" i="3"/>
  <c r="AT10" i="3"/>
  <c r="AT9" i="3"/>
  <c r="AU20" i="3"/>
  <c r="AU11" i="3"/>
  <c r="AU14" i="3"/>
  <c r="AU10" i="3"/>
  <c r="AU9" i="3"/>
  <c r="AV20" i="3"/>
  <c r="AV11" i="3"/>
  <c r="AV14" i="3"/>
  <c r="AV10" i="3"/>
  <c r="AV9" i="3"/>
  <c r="AG11" i="2"/>
  <c r="AG16" i="2"/>
  <c r="AG10" i="2"/>
  <c r="AG9" i="2"/>
  <c r="AE3" i="2"/>
  <c r="AS13" i="2"/>
  <c r="AS15" i="2"/>
  <c r="AS11" i="2"/>
  <c r="AS16" i="2"/>
  <c r="AS10" i="2"/>
  <c r="AS9" i="2"/>
  <c r="AS4" i="2"/>
  <c r="J16" i="2"/>
  <c r="J11" i="2"/>
  <c r="J10" i="2"/>
  <c r="J9" i="2"/>
  <c r="K11" i="2"/>
  <c r="K16" i="2"/>
  <c r="K10" i="2"/>
  <c r="K9" i="2"/>
  <c r="L16" i="2"/>
  <c r="L11" i="2"/>
  <c r="L10" i="2"/>
  <c r="L9" i="2"/>
  <c r="M11" i="2"/>
  <c r="M16" i="2"/>
  <c r="M10" i="2"/>
  <c r="M9" i="2"/>
  <c r="O11" i="2"/>
  <c r="O16" i="2"/>
  <c r="O10" i="2"/>
  <c r="O9" i="2"/>
  <c r="P11" i="2"/>
  <c r="P16" i="2"/>
  <c r="P10" i="2"/>
  <c r="P9" i="2"/>
  <c r="Q16" i="2"/>
  <c r="Q11" i="2"/>
  <c r="Q10" i="2"/>
  <c r="Q9" i="2"/>
  <c r="R11" i="2"/>
  <c r="R16" i="2"/>
  <c r="R10" i="2"/>
  <c r="R9" i="2"/>
  <c r="S11" i="2"/>
  <c r="S16" i="2"/>
  <c r="S10" i="2"/>
  <c r="S9" i="2"/>
  <c r="T11" i="2"/>
  <c r="T16" i="2"/>
  <c r="T10" i="2"/>
  <c r="T9" i="2"/>
  <c r="U16" i="2"/>
  <c r="U11" i="2"/>
  <c r="U10" i="2"/>
  <c r="U9" i="2"/>
  <c r="V11" i="2"/>
  <c r="V16" i="2"/>
  <c r="V10" i="2"/>
  <c r="V9" i="2"/>
  <c r="AA11" i="2"/>
  <c r="AA16" i="2"/>
  <c r="AA10" i="2"/>
  <c r="AA9" i="2"/>
  <c r="AB11" i="2"/>
  <c r="AB16" i="2"/>
  <c r="AB10" i="2"/>
  <c r="AB9" i="2"/>
  <c r="AC11" i="2"/>
  <c r="AC16" i="2"/>
  <c r="AC10" i="2"/>
  <c r="AC9" i="2"/>
  <c r="AD11" i="2"/>
  <c r="AD16" i="2"/>
  <c r="AD10" i="2"/>
  <c r="AD9" i="2"/>
  <c r="AE11" i="2"/>
  <c r="AE16" i="2"/>
  <c r="AE10" i="2"/>
  <c r="AE9" i="2"/>
  <c r="AF11" i="2"/>
  <c r="AF16" i="2"/>
  <c r="AF10" i="2"/>
  <c r="AF9" i="2"/>
  <c r="AH11" i="2"/>
  <c r="AH16" i="2"/>
  <c r="AH10" i="2"/>
  <c r="AH9" i="2"/>
  <c r="AI11" i="2"/>
  <c r="AI16" i="2"/>
  <c r="AI10" i="2"/>
  <c r="AI9" i="2"/>
  <c r="AJ11" i="2"/>
  <c r="AJ16" i="2"/>
  <c r="AJ10" i="2"/>
  <c r="AJ9" i="2"/>
  <c r="AK11" i="2"/>
  <c r="AK16" i="2"/>
  <c r="AK10" i="2"/>
  <c r="AK9" i="2"/>
  <c r="AM11" i="2"/>
  <c r="AM16" i="2"/>
  <c r="AM10" i="2"/>
  <c r="AM9" i="2"/>
  <c r="AN11" i="2"/>
  <c r="AN16" i="2"/>
  <c r="AN10" i="2"/>
  <c r="AN9" i="2"/>
  <c r="AO11" i="2"/>
  <c r="AO16" i="2"/>
  <c r="AO10" i="2"/>
  <c r="AO9" i="2"/>
  <c r="AP11" i="2"/>
  <c r="AP16" i="2"/>
  <c r="AP10" i="2"/>
  <c r="AP9" i="2"/>
  <c r="AQ11" i="2"/>
  <c r="AQ16" i="2"/>
  <c r="AQ10" i="2"/>
  <c r="AQ9" i="2"/>
  <c r="AR11" i="2"/>
  <c r="AR16" i="2"/>
  <c r="AR10" i="2"/>
  <c r="AR9" i="2"/>
  <c r="AT11" i="2"/>
  <c r="AT16" i="2"/>
  <c r="AT10" i="2"/>
  <c r="AT9" i="2"/>
  <c r="AU11" i="2"/>
  <c r="AU16" i="2"/>
  <c r="AU10" i="2"/>
  <c r="AU9" i="2"/>
  <c r="AV11" i="2"/>
  <c r="AV16" i="2"/>
  <c r="AV10" i="2"/>
  <c r="AV9" i="2"/>
</calcChain>
</file>

<file path=xl/sharedStrings.xml><?xml version="1.0" encoding="utf-8"?>
<sst xmlns="http://schemas.openxmlformats.org/spreadsheetml/2006/main" count="1541" uniqueCount="464">
  <si>
    <t>Burimi i mbulimit</t>
  </si>
  <si>
    <t>Afati Fillimit</t>
  </si>
  <si>
    <t>Afati Mbarimit</t>
  </si>
  <si>
    <t>TABELA 1</t>
  </si>
  <si>
    <t>A.</t>
  </si>
  <si>
    <t>Nr.</t>
  </si>
  <si>
    <t xml:space="preserve">Referenca e Rezultatit me produktet e programit buxhetor                       </t>
  </si>
  <si>
    <t>MSHMS</t>
  </si>
  <si>
    <t xml:space="preserve">Afati i zbatimit </t>
  </si>
  <si>
    <t>Janar 2020</t>
  </si>
  <si>
    <t>Dhjetor 2020</t>
  </si>
  <si>
    <t>Kostimi i shërbimeve të reja të zhvilluara</t>
  </si>
  <si>
    <t>Dhjetor 2022</t>
  </si>
  <si>
    <t>Koncepti i komisioneve i zhvilluar dhe Komisionet janë ngritur në nivel bashkiak dhe Qarku/rajoni</t>
  </si>
  <si>
    <t>Qershor 2020</t>
  </si>
  <si>
    <t xml:space="preserve">Programi i ri i ngritur, shërbimet e reja të modeluara janë funskionale në bashkitë kryesore të paracaktuara. </t>
  </si>
  <si>
    <t xml:space="preserve">Programi i Trajnimeve, Lista e pjesëmarrësve, </t>
  </si>
  <si>
    <t>Përshkrimet e punës të Punonjësit Social/psikologut në Maternitete. Përshkrimet e punës tëspecialistit “PunonjësSocial” në strktuara/departamente të ndryshme të shërbimeve shoqërore.</t>
  </si>
  <si>
    <t>Informacioni i përgatitur dhe shpërndarë në sesionet informuese, Tryeza, takime, fushata sensibilizuese</t>
  </si>
  <si>
    <t>Dokumenti i aprovuar dhe konsultuar me institucionet dhe aktorët përgjegjës</t>
  </si>
  <si>
    <t>Sptalet Rajonale dhe Maternitetet, Drejtoritë Vendore të Shëndetësisë,  Aktorë të tjerë- për t’u identifikuar</t>
  </si>
  <si>
    <t>Mars 2020</t>
  </si>
  <si>
    <t>Spitalet Rajonale dhe Maternitetet, Drejtoritë Vendore të Shëndetësisë,  Aktorë të tjerë- për t’u identifikuar</t>
  </si>
  <si>
    <t>Maj 2020</t>
  </si>
  <si>
    <t>Raportet e vlerësimit si dhe propozimet për modelimin e shërbimeve</t>
  </si>
  <si>
    <t>Shtator 2020</t>
  </si>
  <si>
    <t>Korrik 2020</t>
  </si>
  <si>
    <t>Dokumeneti i protokolleve të punës</t>
  </si>
  <si>
    <t>Planet dhe materialet e komunikimit</t>
  </si>
  <si>
    <t>Familjet e përzgjedhura</t>
  </si>
  <si>
    <t>Vendimi i komisionit/ skuadrës multidisiplinare</t>
  </si>
  <si>
    <t>Fëmijët e vendosur në familje kujdestare bazuar në protokollet përkatëse</t>
  </si>
  <si>
    <t xml:space="preserve">Raportet e monitorimit të vizitave mujore. </t>
  </si>
  <si>
    <t>Mbledhje me Komitetin e brësimit/ diskutimi i rasteve</t>
  </si>
  <si>
    <t xml:space="preserve">Dokumenti i planit </t>
  </si>
  <si>
    <t>SHSSH</t>
  </si>
  <si>
    <t xml:space="preserve">a) Mbështetja e 4 njësive të qeverisjes vendore për të zhvilluar dhe integruar shërbimet e kujdesit alternativ në planet e tyre social (planet vendore të përkujdesit shoqëror) (planifikimin e referimit, modelin e përkujdesit, vlerësimin, trajnimin e familjeve, vednimarrjen për institucionalizimin e fëmijëve, kushtet e kontratës etj) duke prioritizuar fëmijët 0-6 vjeç. </t>
  </si>
  <si>
    <t>Numri i parashikuar i familjeve kujdestare</t>
  </si>
  <si>
    <t>Dokumenti i modelit të shërbimit përfshirë kosto, protokolle, udhëzues)</t>
  </si>
  <si>
    <t>Dokumentim i takimeve dhe burimeve financiare.</t>
  </si>
  <si>
    <t>Plani i vlerësimeve individuale.</t>
  </si>
  <si>
    <t xml:space="preserve">Korniza e modelit </t>
  </si>
  <si>
    <t>f) Hartimi i planeve individuale të zhvillimit dhe përkujdesit, të kostuara, përfshirë mundësitë e ribashkimit me familjen biologjike, për fëmijët dhe të rinjtë në jetesë gjysëm të pavarur dhe të pavarur.</t>
  </si>
  <si>
    <t>i) Vlerësim i impaktit të këtij modeli, dhe mundësia për ta shtrirë në institucionet e tjera.</t>
  </si>
  <si>
    <t xml:space="preserve">Institucionet e identifikuara për transformim me fokus tek ribashkimi. </t>
  </si>
  <si>
    <t>Shërbimet mbështetëse për familjet janë ngritur dhe janë funksionale</t>
  </si>
  <si>
    <t xml:space="preserve">Raportet e vlerësimit të fëmijës dhe familje sipas standartit. </t>
  </si>
  <si>
    <t>Lista e fëmijëve dhe familjeve të vlerësuar si të mundshme për ribashkim</t>
  </si>
  <si>
    <t>Raportet e zbatimit dhe dokumentimi i praktikave</t>
  </si>
  <si>
    <t>Raportet e vizitave familjare</t>
  </si>
  <si>
    <t>Raportet e takimit me aktorët kryesorë, Dokumenti i analizës</t>
  </si>
  <si>
    <t>Paketa e Trajnimit, Profesionistët e trajnuar</t>
  </si>
  <si>
    <t>Planet e transformimit</t>
  </si>
  <si>
    <t>Planet e zhvillimit të shërbimeve</t>
  </si>
  <si>
    <t>Mekanizmat e llogaridhënies të ngritur</t>
  </si>
  <si>
    <t>Buxhet e rialokuara</t>
  </si>
  <si>
    <t xml:space="preserve">Plani i veprimit </t>
  </si>
  <si>
    <t xml:space="preserve">Planet individuale të zhvilllimit dhe përkujdesit. </t>
  </si>
  <si>
    <t>Draft propozimi të paraqitet tek MSHMS</t>
  </si>
  <si>
    <t>Draft moduli i trajnimit  “Kujdesi për Veten dhe jetesën gjysëm të pavarur”</t>
  </si>
  <si>
    <t>Raportet e vlerësimit(ecuria/gjetjet/sfida)</t>
  </si>
  <si>
    <t>Hartimi dhe miratimi i planit tëpër jetesën gjysëm të pavarur</t>
  </si>
  <si>
    <t>Studimi dhe propozimi i mundësise së ngritjes së shërbimit</t>
  </si>
  <si>
    <t xml:space="preserve">Takime dhe tryeza rrumbullake </t>
  </si>
  <si>
    <t xml:space="preserve">Institucionet përgjegjëse </t>
  </si>
  <si>
    <t>Kosto indikative (në mijë lekë)</t>
  </si>
  <si>
    <t>Hendeku financiar (në mijë lekë)</t>
  </si>
  <si>
    <t>Shkruaj institucionin përgjegjës (Udhëheqës)</t>
  </si>
  <si>
    <t>Institucion kontribues (nëse ka)</t>
  </si>
  <si>
    <t>Buxhet Shteti  (në mijë Lek)</t>
  </si>
  <si>
    <t>Bashkitë, SHSSH</t>
  </si>
  <si>
    <t>në vazhdim</t>
  </si>
  <si>
    <t>Bashkitë, Spitalet Rajonale dhe Maternitetet, Drejtoritë Vendore të Shëndetësisë,  Aktorë të tjerë- për t’u identifikuar</t>
  </si>
  <si>
    <t>Spitalet Rajonale dhe Maternitetet, Shërbimi psiko-social në maternitete</t>
  </si>
  <si>
    <t>Bashkitë</t>
  </si>
  <si>
    <t xml:space="preserve">Plane  sociale të 4  bashkive kanë të  përfshirë kujdesit alternativ në to. </t>
  </si>
  <si>
    <t>Rastet me kujdestari të zgjidhur</t>
  </si>
  <si>
    <t>Planet individuale të zhvillimit</t>
  </si>
  <si>
    <t>Raportet e zbatimit te planeve individuale të zhvillimit</t>
  </si>
  <si>
    <t>ISHP-të</t>
  </si>
  <si>
    <t>IPSH-të</t>
  </si>
  <si>
    <t xml:space="preserve">Anëtarët e Komitetit të Reformës </t>
  </si>
  <si>
    <t>Shkurt 2020</t>
  </si>
  <si>
    <t>a) Moratorium për institucionalizimin e fëmijëve 0-3 Vjeç</t>
  </si>
  <si>
    <t>DPZHSHMS</t>
  </si>
  <si>
    <t>Prill 2020</t>
  </si>
  <si>
    <t>Partnerët</t>
  </si>
  <si>
    <t>Harmonizimi i sistemit të integruar ligjor, adminisrativ dhe procedurial që siguron zbatimin e interesit më të lartë të fëmijës</t>
  </si>
  <si>
    <t>SHSSH, Partnerët</t>
  </si>
  <si>
    <t>Dokumenti i analizës ligjore</t>
  </si>
  <si>
    <t>SHSSH,Partnerët</t>
  </si>
  <si>
    <t xml:space="preserve">SHSSH, Partnerët </t>
  </si>
  <si>
    <t xml:space="preserve">SHSSH, Bashkitë, Qarqet, Partnerët </t>
  </si>
  <si>
    <t>SHSSH, Patnerët</t>
  </si>
  <si>
    <t>SHSSH, Bashkitë, Partnerët</t>
  </si>
  <si>
    <t xml:space="preserve"> Bashkitë, SHSSH, Partnerët</t>
  </si>
  <si>
    <t xml:space="preserve"> SHSSH, Partnerët</t>
  </si>
  <si>
    <t xml:space="preserve"> ISHP-të, SHSSH, Partnerët</t>
  </si>
  <si>
    <t xml:space="preserve"> Bashkitë, ISHP-të, SHSSH, Partnerët</t>
  </si>
  <si>
    <t>Bashkitë, SHSSH, Partnerët</t>
  </si>
  <si>
    <t>Bashkitë,  Partnerët</t>
  </si>
  <si>
    <t>Bashkitë, Partnerët</t>
  </si>
  <si>
    <t>Bashkitë, ISHP-të, SHSSH, Partnerët</t>
  </si>
  <si>
    <t>Tetor 2020</t>
  </si>
  <si>
    <t>Dhjetor 2021</t>
  </si>
  <si>
    <t>Qershor2021</t>
  </si>
  <si>
    <t>Prill 2021</t>
  </si>
  <si>
    <t>Shtator 2021</t>
  </si>
  <si>
    <t>Maj 2021</t>
  </si>
  <si>
    <t>Qershor 2021</t>
  </si>
  <si>
    <t>dhjetor 2021</t>
  </si>
  <si>
    <t>Raporte progresive mbi vendimet, sugjerimet dhe dakortësimet.</t>
  </si>
  <si>
    <t>e) Realizimi i vlerësimeve individuale për çdo fëmijë dhe familjet e tyre dhe analizimi i mundësisë së jetesës gjysëm të pavarur ose të pavarur përmes një programi mbështetës fuqizimi.</t>
  </si>
  <si>
    <t>Raportet e Inspektimit</t>
  </si>
  <si>
    <t>ISHS</t>
  </si>
  <si>
    <t>NJMF</t>
  </si>
  <si>
    <t>Janar 2021</t>
  </si>
  <si>
    <t>Mars 2021</t>
  </si>
  <si>
    <t>Komiteti i ngritur</t>
  </si>
  <si>
    <t>Takimet e realizuara</t>
  </si>
  <si>
    <t>NJKT</t>
  </si>
  <si>
    <t>Rastet e zgjidhura</t>
  </si>
  <si>
    <t xml:space="preserve">Takimi i realizuar </t>
  </si>
  <si>
    <t xml:space="preserve">Bashkitë </t>
  </si>
  <si>
    <t>Tryeza teknike, komunikime zyrtare</t>
  </si>
  <si>
    <t>QZH</t>
  </si>
  <si>
    <t xml:space="preserve">m) Punë për zgjidhjen e statusit të kujdestarisë së fëmijës/ braktisje. </t>
  </si>
  <si>
    <t>e) Vlerësimi i kujdestarëve alternativë të mundshëm</t>
  </si>
  <si>
    <t xml:space="preserve">f) Miratimi i kujdestarëve alternativë nga  komisionit/ skuadra multidisiplinare për shërbimet sociale (në bashkitë përkatëse ose në nivel rajonal në katër zona). Këtyre komisioneve mund t’u ngarkohen dhe detyrat e parandalimit të ndarjes së fëmijës nga familja. </t>
  </si>
  <si>
    <t xml:space="preserve">g) Vendosja e fëmijëve në familjet kujdestare sipas VKM 89 (fëmijët 0-3 vjeç janë prioritet). </t>
  </si>
  <si>
    <t>h) Monitorim i vazhdueshëm i familjeve dhe fëmijëve të tyre të vendosur në familjet e përkujdesit alternativ</t>
  </si>
  <si>
    <t>j) Hartimi i planeve të përhershme të fëmijëve në kujdes alternativ.</t>
  </si>
  <si>
    <t xml:space="preserve">k) Puna për zbatimin e planit aftgjatë të përkujdesit për secilin fëmijë, përfshirë birësimin. </t>
  </si>
  <si>
    <t xml:space="preserve">l) Sigurimi i aksesit të fëmijëve të vendosur në përkujdes alternativ dhe familjeve kujdestare në shërbime mbështetëse komunitare. </t>
  </si>
  <si>
    <r>
      <t xml:space="preserve">I. QELLIMI STRATEGJIK </t>
    </r>
    <r>
      <rPr>
        <sz val="10"/>
        <rFont val="Times New Roman"/>
        <family val="1"/>
      </rPr>
      <t xml:space="preserve">“Konsolidimi i mbrojtjes shoqërore” </t>
    </r>
  </si>
  <si>
    <r>
      <t xml:space="preserve">III. PROGRAMI BUXHETOR:  </t>
    </r>
    <r>
      <rPr>
        <sz val="10"/>
        <rFont val="Times New Roman"/>
        <family val="1"/>
      </rPr>
      <t>Programi buxhetor i MSHMS “Përkujdesi Social“</t>
    </r>
  </si>
  <si>
    <r>
      <t xml:space="preserve">Financim i Huaj  </t>
    </r>
    <r>
      <rPr>
        <sz val="10"/>
        <rFont val="Times New Roman"/>
        <family val="1"/>
      </rPr>
      <t>(ne mije Lek)</t>
    </r>
  </si>
  <si>
    <t>OBJEKTIVI: De-institucionalizimi, parandalimi dhe krijimi i shërbimeve alternative  të fëmijëve të moshës 0-18 vjeç, përfshirë fëmijët me aftësi të kufizuara.</t>
  </si>
  <si>
    <t>SHSSH, Partnerët, Bashkitë</t>
  </si>
  <si>
    <t>SHSSH, Partnerët, Bashkitë, ISHP-të</t>
  </si>
  <si>
    <t xml:space="preserve">SHSSH, Partnerët, Bashkitë </t>
  </si>
  <si>
    <t xml:space="preserve"> Shërbime sociale dhe të integruara për ndërhyrje  të hershme dhe parandalimin e ndarjes së fëmijës nga mjedisi familjar (përfshirë fëmijët me AK)</t>
  </si>
  <si>
    <t>Nr i fëmijëve me AK të de-institucionalizuar</t>
  </si>
  <si>
    <t xml:space="preserve"> ISHP-të, Bashkitë, SHSSH, Partnerët</t>
  </si>
  <si>
    <t>SHSH, Autoritetet Përgjegjëse</t>
  </si>
  <si>
    <t>i) Qendrat për mbështetjen e familjeve të përkujdesit alternativ mbështesin në vazhdimësi familjet kujdestare dhe NJMF-të do të mbështesin fëmijët e vendosur në përkujdesje alternative dhe do të punojnë për riintegrimin ose birësimin, gjë qëështë shumë mirë për ndarjen e detyrave dhe përjashtimin e konfliktit të interesit</t>
  </si>
  <si>
    <t>m) Inspektimi periodik i shërbimeve të kujdesit alternativ nga ISHS</t>
  </si>
  <si>
    <t>DPZHSHMS, Partnerët</t>
  </si>
  <si>
    <t>Bashkitë, SHSH, Partnerët</t>
  </si>
  <si>
    <t>ISHP-të, SHSH, Partnerët</t>
  </si>
  <si>
    <t xml:space="preserve"> Bashkitë, ISHP-të, SHSH, Partnerët</t>
  </si>
  <si>
    <t>Dokumneti  i miratuar i strategjisë</t>
  </si>
  <si>
    <t>Planet dhe materialet e ndërgjegjësimit</t>
  </si>
  <si>
    <t xml:space="preserve">Partnerët </t>
  </si>
  <si>
    <t>b) Moratorium për institucionalizimin e fëmijëve 0-6 vjeç në 2 ISHP -të ku do të pilotohet transformimi  (Korçë, Vlorë)</t>
  </si>
  <si>
    <t>Viti 2020</t>
  </si>
  <si>
    <t>Year 1 2020</t>
  </si>
  <si>
    <t>Year 2 (2021)</t>
  </si>
  <si>
    <t>Year 3 (2022)</t>
  </si>
  <si>
    <t>Shpenzime paga + sig shoqerore</t>
  </si>
  <si>
    <t>Shpenzime operative</t>
  </si>
  <si>
    <t>kosulenca Studime</t>
  </si>
  <si>
    <t>604. Transferta e brendeshme</t>
  </si>
  <si>
    <t>Investime</t>
  </si>
  <si>
    <t>Totali</t>
  </si>
  <si>
    <t>Financuar nga buxheti</t>
  </si>
  <si>
    <t>Financuar nga donatori BB</t>
  </si>
  <si>
    <t>Donatore UN etc</t>
  </si>
  <si>
    <t>hendeku financiar</t>
  </si>
  <si>
    <t>Financuar nga donatori (BB)</t>
  </si>
  <si>
    <t>Financuar nga donatori</t>
  </si>
  <si>
    <t>TOTALI</t>
  </si>
  <si>
    <t>Detaje te aktivitetit</t>
  </si>
  <si>
    <t>(4  persona *1 muaj në vit nivel (1 Drejtor kateg II a =160 000 + 1 shef sektori IIIa = 118 800+2 specialist kateg III b =95 694)</t>
  </si>
  <si>
    <t>Organzimi 1- 2 ditë për 5 trainime në Tiranë ( për 61 bashki * 2 punonjës social. cdo bashki, organizuar nga  2 Specialist SHSSH specialist IV a =81690leke/muaj 2 ditë pune për cdo trainim,) kosto e dietave për 30  bashki të cilat janë me &gt;100 km (=2*30*5500*/ 1 ditë) .  Shpenzime administrative 5000 lekë/ cdo trainim</t>
  </si>
  <si>
    <t>Takime konsultative (4 takime x 50 000 lekë/takimi)</t>
  </si>
  <si>
    <t>Paga e një specialisti me IV a=81690 lekë/ 1 muaj ne vit.</t>
  </si>
  <si>
    <t>SSHSH</t>
  </si>
  <si>
    <t>Indikatoret e aktivitetit</t>
  </si>
  <si>
    <t>Paga e një specialisti me IV a=81690 lekë/  per 4 njesi te veteteqeverisjes per 6 muaj dhe nje specialst nga sshss</t>
  </si>
  <si>
    <t xml:space="preserve">Paga e një specialisti me IV a=81690 lekë/  per  njesi te veteteqeverisjes </t>
  </si>
  <si>
    <t xml:space="preserve">Ekspertiza nga inspektoriati (5 persona *12 muaj në vit nivel (1 Drejtor kateg II a =160 000 + 1 shef sektori IIIa = 118 800+3 specialist kateg III b =95 694)/ + shpenzime operative 300,000, </t>
  </si>
  <si>
    <t>Burimi i mbulimit
(2020-2022)</t>
  </si>
  <si>
    <t>Burimi i mbulimit
2020</t>
  </si>
  <si>
    <t>Burimi i mbulimit
2021</t>
  </si>
  <si>
    <t>Burimi i mbulimit
2022</t>
  </si>
  <si>
    <t>d) Organizimi i fushatave të komunikimit  dhe takimeve informuese me institucionet, komunitetet dhe njerëzit e interesuar.</t>
  </si>
  <si>
    <t>VITI 2020</t>
  </si>
  <si>
    <t>VITI 2021</t>
  </si>
  <si>
    <t>VITI 2022</t>
  </si>
  <si>
    <t>unding Sources and Gap</t>
  </si>
  <si>
    <t>% e  Hendeku Financiar  vs Kosto indikative</t>
  </si>
  <si>
    <t>PLANI I VEPRIMIT NE ZBATIM TE DOKUMENTIT STRATEGJIK   (2020-2022)</t>
  </si>
  <si>
    <t>Ekspert 15 ditë pune X 12'000 Lekë</t>
  </si>
  <si>
    <t>a) Ngritja e komitetit drejtues ndër institucional për zbatimin e planit  kombëtar të De-Institucionalizimit</t>
  </si>
  <si>
    <t>IPSH-të, SHSH, Partnerët</t>
  </si>
  <si>
    <t xml:space="preserve"> Bashkitë, IPSH-të, SHSH, Partnerët</t>
  </si>
  <si>
    <t xml:space="preserve"> Bashkitë, IPSH-të, SHSSH, Partnerët</t>
  </si>
  <si>
    <t xml:space="preserve">g) Koordinim ndërinstitucional rast pas rasti sipas nevojës </t>
  </si>
  <si>
    <t>e) Takime periodike të Grupit teknik të nivelit të lartë për De-Institucionalizimin</t>
  </si>
  <si>
    <t>c) Ndërgjegjësimi i Bashkive dhe aktorëve në nivel vendor për rëndësinë e ngritjes dhe funksionimit të kujdesarisë alternative</t>
  </si>
  <si>
    <t xml:space="preserve"> (Grup pune expetesh lokal 3 eksperte lokalë *15 ditë *12000 lekë/ ditë) +30000 shpenzime administrative </t>
  </si>
  <si>
    <t>Expert vendor 5 ditë *13'000 Lekë + Punonjës Social 10 ditë x 5500 Lekë</t>
  </si>
  <si>
    <t>Kornizë e unifikuar vlerësimi</t>
  </si>
  <si>
    <t>b) Zhvillimi i një kornize vlerësimi të unifikuar për fëmijën dhe familjen,si dhe mbështetja e zbatimit të saj në nivel kombëtar</t>
  </si>
  <si>
    <t>d) Analizimi i rezultateve të vlerësimit, të të gjithë fëmijëve  të vendosur në IPSH-të publike dhe identifikimi i drejtimeve strategjike për transformimin e IPSH-ve nëqendra shërbimesh përkujdesit alternativ, duke prioritizuar fëmijët e moshës 0-6 vjeç</t>
  </si>
  <si>
    <t>Expert vendor 5 ditë *13'000 Lekë + Punonjës Social 20 ditë x 5500 Lekë</t>
  </si>
  <si>
    <t xml:space="preserve">Ekspertiza nga MSHMS (5 persona *2 muaj në vit nivel (1 Drejtor kateg II a =160 000 + 1 drejtor i IIIa = 118 800+3 specialist kateg III b =95 694)/ + shpenzime operative 40'000 </t>
  </si>
  <si>
    <t xml:space="preserve"> IPSH-të, SHSSH, Partnerët</t>
  </si>
  <si>
    <t xml:space="preserve"> (Grup pune expetësh lokalë 3 eksperte lokalë *15 ditë *13 000 lekë/ ditë)30000 shpenzime administrative </t>
  </si>
  <si>
    <t>a) Vlerësimi i IPSH-ve (fëmijë dhe familje, kapacitete e stafit, financat, infrastruktura, programi, pajisjet dhe performanca institucionale)</t>
  </si>
  <si>
    <t xml:space="preserve">2 IPSH të transformuara në shërbime të reja </t>
  </si>
  <si>
    <t xml:space="preserve"> IPSH-të, Bashkitë, SHSSH, Partnerët</t>
  </si>
  <si>
    <t>Bashkitë, IPSH-të, SHSSH, Partnerët</t>
  </si>
  <si>
    <t xml:space="preserve">d) Parashikimin e numrit të kujdestarëve alterantivë për secilën bashki të nevojshëm, për t’u rekrutuar, bazuar  në hartën e bashkive të origjinës të fëmijëve të vendosur aktualisht në IPSH. </t>
  </si>
  <si>
    <t xml:space="preserve">g) Hartimi i planit për replikimin e modeleve të zhvilluara në nivel kombëtar. </t>
  </si>
  <si>
    <t xml:space="preserve">606. Transferta për familjet dhe individët </t>
  </si>
  <si>
    <t xml:space="preserve">a) Zhvillimi dhe ngritja e shërbimeve psiko-sociale  më qëllim identifikimin e fëmijëve në rrezik braktisjeje, ndërhyrjen e hershme, ofrimi i mbështetjes  brenda maternitetit dhe ndërveprimi me komunitetet, për të mbështetur prindërit me fëmijë foshnja. në qendrat shëndetësore, konsultore dhe maternitetet e qyteteve kryesore,  (Tirana, Durrës, Elbasan, Shkodra, Korça, Vlora, Berat) </t>
  </si>
  <si>
    <t>b)Hartimi i përshkrimeve të punës për personelin e shërbmit psiko-social në maternitete</t>
  </si>
  <si>
    <t>c) Zhvillimi dhe ngritja e një mekanizmi efektiv referimi dhe protokollit të të punuarit së-bashku për identifikimin e hershëm të rasteve të braktisjes së fëmijëve të porsalindur.</t>
  </si>
  <si>
    <t>Hartimi i udhezuesit për referimin dhe trajtimin e rastit</t>
  </si>
  <si>
    <t xml:space="preserve">d) Hartimi i një programi mbështetës për kategorinë e nënave që rrezikojnë braktisjen e fëmijës, përfshirë strehimin, punësimin, arsimimin, edukimin për prindërim, kujdesin e hershëm për fëmijën  përfshirë fëmijët me PAK. </t>
  </si>
  <si>
    <t>h) Vlerësimi dhe studim fizibiliteti për mundësinë e ngritjes së shërbimeve me bazë komunitare, (një njësie shërbimi)  dhe modelimi i shërbimit për fëmijët me aftësi të rënda fizike dhe intelektuale në mjedis/ të të përbashkëta jo të veçuara nga fëmijët e tjerë.</t>
  </si>
  <si>
    <t xml:space="preserve">b) Vlerësimi individual i gjithësecilit fëmijë dhe familjeve, rishikimi i vlerësimeve ekzistuese dhe planeve individuale të zhvillimit dhe përkujdesit (çdo 6 muaj) duke identifikuar mundësitë e ribashkimit. </t>
  </si>
  <si>
    <t xml:space="preserve">c) Vlerësimi i fëmijëve më AK dhe familjeve të tyre për të identifikuar mundësitë e deinstitucionalizimit për të informuar zhvillimin  i shërbimeve të ardhshme me nevojat e fëmijëve dhe familjeve. Hartimi i planeve individuale të zhvillimit dhe përkujdesit. </t>
  </si>
  <si>
    <t xml:space="preserve">Sigurimi i interesit më të lartë të fëmijëve (përfshirë fëmijët me AK) rezidentë në IPSH-të publike dhe Qendrat e Zhvillimit </t>
  </si>
  <si>
    <t>b) Konsultimi i modelit të shërbimit me organizata të mundshme dhe bashki të mundshme (psh. Tiranë, Saranda, Shkodër).</t>
  </si>
  <si>
    <t>k) Vlerësimi i nevojave të personelit për të zhvilluar aftësi për të mbështetur/ndihmuar fëmijët për jetesën e pavarur dhe gjysëm të pavarur.</t>
  </si>
  <si>
    <t>Experzë teknike për vlerësimin e impaktit të modelit (1 expertë lokal * 20 ditë *13 000 lekë/muaj)</t>
  </si>
  <si>
    <t>Bashkitë,  SHSSH, Partnerët</t>
  </si>
  <si>
    <t>d) Hartimi dhe miratimi/ akreditimi/ i paketës së trajnimeve për përkujdesin alternativ – për trajnimin fillestar dhe në vazhdim</t>
  </si>
  <si>
    <t>Paketa e trajnimeve Ie akredituar</t>
  </si>
  <si>
    <t xml:space="preserve"> (Grup pune expetesh lokal 3 eksperte lokalë *15 ditë *13 000 lekë/ ditë) +300000 shpenzime operative dhe administrative </t>
  </si>
  <si>
    <t>a) Hartimi i një manuali për praktikat e mira për de-institucionalizimin për Bashkitë;</t>
  </si>
  <si>
    <t>c) Zhvillimi dhe akreditimi i programeve të trajnimit, për të siguruar zbatimin e përqasjeve dhe modeleve të reja të shërbimeve;</t>
  </si>
  <si>
    <t>b) Orientimi dhe mbështetja e Bashkitë-ve në vetë-administrimin e shërbimeve të kujdesit shoqëror të ofruara në qendra publike në njësitë e tyre;</t>
  </si>
  <si>
    <t>Miratimi i moduleve</t>
  </si>
  <si>
    <t>Seancat e mentorim supervizimit</t>
  </si>
  <si>
    <t>Prill2020</t>
  </si>
  <si>
    <t>Dhjetor 202O</t>
  </si>
  <si>
    <t>Ekspertiza nga MSHMS (3 persona *1 muaj nivel ( drejtor i IIIa = 118 800+2 specialist kateg III b =95 694)</t>
  </si>
  <si>
    <t>Qershor</t>
  </si>
  <si>
    <t xml:space="preserve">Shpenzime lum sum 1 000 000 lekë/vit  për tematika të ndryshme që lidhen me programin e mbrojtjes shoqërore </t>
  </si>
  <si>
    <t>h) Koordinimi i punës së përbashkët për ngritjen e shërbimeve ditore dhe shërbimeve të tjera me bazë komunitare për fëmijët me  dhe pa AK dhe prindërit e tyre.</t>
  </si>
  <si>
    <t xml:space="preserve">d) Monitorimi dhe vlerësimi në vazhdim i shërbimeve të reja. </t>
  </si>
  <si>
    <t xml:space="preserve">f) Monitorimi dhe vlerësimi i efikasitetit dhe ndikimit të shërbimit për të siguruar qëndrueshmërinë dhe mundësinë e replikimit në nivel kombëtar. </t>
  </si>
  <si>
    <t>1 takim 10000</t>
  </si>
  <si>
    <t>b) Ngritja e strukturave të koordinimit në nivel vendor në çdo bashki që ka IPSH (6 bashki)</t>
  </si>
  <si>
    <t>1 takim *6* 10000</t>
  </si>
  <si>
    <t xml:space="preserve">Takimet e realizuara </t>
  </si>
  <si>
    <t>IPSH-të, SHSSH, Partnerët</t>
  </si>
  <si>
    <t>Koordinimi  në nivel kombëtar dhe monitorimi i zbatimit te planit kombëtar të De-institucionalizimit</t>
  </si>
  <si>
    <t>Strukturat vendorë të ngritura në 6 bashki ngritura</t>
  </si>
  <si>
    <t xml:space="preserve">c) Takime të komtetit drejtues çdo tre muaj </t>
  </si>
  <si>
    <t xml:space="preserve">Raportet e detajuara të monitorimit dhe Planet e qëndrueshmërisë dhe replikimit. </t>
  </si>
  <si>
    <t>Raportet e takimeve dhe komunikimeve të koordiminit ndër-institucional</t>
  </si>
  <si>
    <t>Dhetor 2022</t>
  </si>
  <si>
    <t xml:space="preserve">Paga e një specialisti me IV a=81690 lekë/ muaj në  SHSSH  dhe IPSH për 1 muaj në vit. </t>
  </si>
  <si>
    <t>Paga e një specialisti me IV a=81690 lekë/ muaj në  SHSSH  dhe IPSH për 2 muaj ne vit.    pagesa për 2 ekspertë për 5 ditë pune në vit *13 000 lekë në ditë</t>
  </si>
  <si>
    <t>2 Ekspert 15  ditë pune X 13'000 Lekë</t>
  </si>
  <si>
    <t xml:space="preserve">c) Ngritja e komisioneve bashkiake/rajonale, për parandalimin e institucionalizimit dhe ofrimin e kujdesit alternativ, për të mbështetur Strukturën e Posaçme për Shërbimet Sociale në bashki me vendimarrjen për ndarjen e fëmijës nga familja dhe vendosjen e tij në kujdes alternativ. </t>
  </si>
  <si>
    <t xml:space="preserve"> 2 eksperte lokalë *10 ditë *12000 lekë/ ditë dhe Ekspertiza nga MSHMS (3 persona *1 muaj nivel ( drejtor i IIIa = 118 800+2 specialist kateg III b =95 694)</t>
  </si>
  <si>
    <t xml:space="preserve"> (Grup pune expetesh lokal 2 eksperte lokalë *10 ditë *12000 lekë/ ditë) +30000 shpenzime administrative </t>
  </si>
  <si>
    <t xml:space="preserve"> (Grup pune expetesh lokal 2 eksperte lokalë *15 ditë *12000 lekë/ ditë) +30000 shpenzime administrative </t>
  </si>
  <si>
    <t>Shtator  2020</t>
  </si>
  <si>
    <t>1 punonjës të shërbimit social kateg IV a 81 690 leke/ muaj   tre vjet+ 100000 shpenz administrative</t>
  </si>
  <si>
    <t>Kosto e 2 expertë lokalë *13 000 lekë*20 ditë</t>
  </si>
  <si>
    <t>g) Ngritja e kapaciteteve të bashkive për të zbatuar programe për fuqizimin e familjes (planifikimi, buxhetimi dhe mobilizimi i burimeve komunitare)</t>
  </si>
  <si>
    <t>h) Vazhdimi i rritjes së kapaciteteve të strukturave  qendrore dhe vendore për de-Institucionalizimin</t>
  </si>
  <si>
    <t>i) Prezantimi dhe orientimi i programit të trajnimieve për punonjësit socialë dhe psikologët. Ngritjae kapaciteteve të të gjithë aktorëve të përfshirë në parandalimin e braktisjess së foshnjave, nëpërmjet sesioneve informuese, trajnimeve fillestare e në vazhdim, zhvillimi dhe ofrimi i supervizimit dhe mentorimit profesional,</t>
  </si>
  <si>
    <t xml:space="preserve">k) Organizimi i trajnimit të personelit në çdo Qender Zhvillimi. </t>
  </si>
  <si>
    <t>l) Organizimi i sesioneve të trajnimeve me kujdestarë alternativ të mundshëm</t>
  </si>
  <si>
    <t>Ngritja e kapaciteteve dhe ndërgjegjësimi   i institicioneve dhe publikut të gjerë për mirëqenien e fëmijëve dhe deinstitucionalizimin</t>
  </si>
  <si>
    <t xml:space="preserve">(Expertë Lokalë 20 ditë *13 000 leke/ ditë x 1 expertë) </t>
  </si>
  <si>
    <t>Programet e trajnimeve të akrediturara</t>
  </si>
  <si>
    <t>Kosto për ekspertë lokalë  3 expertë lokalë *13 000 lekë*10 ditë</t>
  </si>
  <si>
    <t xml:space="preserve">e) Hartimi i modulit/kurrikulës së trajnimit për Kujdesin për Veten dhe jetesën gjysëm të pavarur përfshirë fëmijët të cilët jetojnë pranë Qendrave të Zhvillimit . </t>
  </si>
  <si>
    <t>Organizimi i 4 trainimeve * 60000 lekë trajnimi</t>
  </si>
  <si>
    <t>Nëntor 2020</t>
  </si>
  <si>
    <t>Organizimi i 5 trainimeve * 60000 lekë trajnimi</t>
  </si>
  <si>
    <t>Organizimi i 8 sesioneve të traimimit me 60000 lekë sesioni</t>
  </si>
  <si>
    <t>m)  Hartimi i një udhëzuesi praktik dhe rritja e kapaciteteve te ShsSh për monitorimin e shërbimeve të kujdesit shoqëror</t>
  </si>
  <si>
    <t xml:space="preserve">Udhëzuesi praktik, programi trjanimeve </t>
  </si>
  <si>
    <t xml:space="preserve"> 1 ekspert vendor *20 ditë* 13 000 lekë dhe  një trainimi dy ditor me kosto/60,000 lekë/ditë</t>
  </si>
  <si>
    <t>Dy ekspertë *20 ditë*13'000 lekë në vit</t>
  </si>
  <si>
    <t>200'000 për organizimin e konferencës</t>
  </si>
  <si>
    <t>organizimi i tryezave informative për përfaqësues të 61 bashki dhe aktore vendore.  2 takime ne vit * 3 vite * 10000 leke kosto e takimeve dhe materialeve.</t>
  </si>
  <si>
    <t xml:space="preserve">Takimet e kryera në nivel vendor </t>
  </si>
  <si>
    <t xml:space="preserve">5 punonjës me kohë të plotë *60000*7 muaj+ 2 me kohë të pjëshme *7 muaj + 2 specialistë teknikë * 75000*7 muaj </t>
  </si>
  <si>
    <t>pagesa e 5 eskpertëve të nivelit të lartë *20 ditë*13000 dhe pagesa e 5 ekspertëve teknikë *20 ditë* 9000/ditë plu shpenzime operative 5 qendra *100000</t>
  </si>
  <si>
    <t>Mbuluar nga A.3.1.b + shpenzime operative 10000 për institucion për vit</t>
  </si>
  <si>
    <t>Mbuluar nga A.3.1.b + shpenzime për fuqizimin e familjes 30 familje në vit * 50 mijë për familjë</t>
  </si>
  <si>
    <t xml:space="preserve">10 raste/ 11000 lekë në muaj për 12 muaj </t>
  </si>
  <si>
    <t>Raportet e vlerësimeve</t>
  </si>
  <si>
    <t>3 ekspertë vendorë *5 ditë/institucion ditë*13 000 lekë/ditë* 9 institucione</t>
  </si>
  <si>
    <t>3 ekspertë vendorë * ditë*13 000 lekë/ditë*2 ditë * 9 institucione</t>
  </si>
  <si>
    <t xml:space="preserve">2 ekspertë vendorë * ditë*13 000 lekë/ditë*15 ditë </t>
  </si>
  <si>
    <t>3 punonjës të shërbimit social kateg IV a 81 690 leke/ muaj   për 3 muaj në vit  tre vjet+ 100000 shpenz administrative</t>
  </si>
  <si>
    <t>5 punonjës të shërbimit të qendrave të zhvillimit 62 000 leke/ muaj   tre vjet 2 muaj në vit</t>
  </si>
  <si>
    <t>2 punonjës të shërbimit social kateg IV a 81 690 leke/ muaj    3 muaj në vit për 3 vjet</t>
  </si>
  <si>
    <t xml:space="preserve">(Experte Lokal 20 ditë *13 000 lekë/ ditë x 1 expertë) </t>
  </si>
  <si>
    <t xml:space="preserve">2 ekspertë vendorë * ditë*13 000 lekë/ditë*10 ditë </t>
  </si>
  <si>
    <t>b) Mbështetja e njësive të qeverisjes vendore për të ngritur strukturat e nevojshme institucionale ,që do të bëjnë të mundur ofrimin e shërbimeve të përkujdesit alternativ (shih më shumë detaje nëobjektivin për transformimin e IPSH-ve dhe përkujdesin alternativ). Ngritja e sherbimit alternativ ne 4 IPSH aktuale (disa prej tyre të mbështetuara nga UNICEF në periudhën e pilotimit)</t>
  </si>
  <si>
    <t xml:space="preserve">(Experte Lokal 20 ditë *13 000 leke/ ditë x 1 expertë) </t>
  </si>
  <si>
    <t>Harta e shërbimeve</t>
  </si>
  <si>
    <t xml:space="preserve">Programi mbështëtësi i përgatitur dhe i dërguar për miratim </t>
  </si>
  <si>
    <t>Bashkitë, Partnerët, SHSSH</t>
  </si>
  <si>
    <t>Aktet normative të hartuara</t>
  </si>
  <si>
    <t>5 takime në vit për çdo institucion* 14 institucione*3 vjet* 3000 lekë për takim</t>
  </si>
  <si>
    <t>m) Vlerësimi i ecurisë së fëmijëve me çdo institucion, familjet dhe hartimi i një plani në vazhdimësi për të forcuar jetesën gjysëm të pavarur</t>
  </si>
  <si>
    <t>d) Takimet e strukturave koordinueese  në nivelin vendor çdo muaj</t>
  </si>
  <si>
    <t xml:space="preserve">ekspertë vendorë 2*1*13000 çdo muaj </t>
  </si>
  <si>
    <t xml:space="preserve">ekspertë vendorë 2*1*13000 çdo  6 muaj </t>
  </si>
  <si>
    <t xml:space="preserve">ekspertë vendorë 2*5*13000 çdo  1 vit </t>
  </si>
  <si>
    <t>Partnerët, SHSSH, IPSH, Bashkitë, Spitalet Rajonale dhe Maternitetet, Drejtoritë e Shëndetit publik, Shërbimi psiko-social në maternitete</t>
  </si>
  <si>
    <t>b)  Konferencë ose Takim ndërinstitucional   i nivelit të lartë për njohjen me planin kombëtar  dhe çshtje të De-Institucionalizimit</t>
  </si>
  <si>
    <t>3000 lekë për takim * 6 bashki *33 muaj</t>
  </si>
  <si>
    <t xml:space="preserve">c) Hartimi i metodologjisë dhe instrumentave  për shërbimet e përkujdesit alternativ profesional , në bashkëpunim me aktorët përgjegjës. </t>
  </si>
  <si>
    <t xml:space="preserve">c) Hartimi i metodologjisë dhe instrumentave  për shërbimet e përkujdesit alternativ profesional, në bashkëpunim me aktorët përgjegjës. </t>
  </si>
  <si>
    <t>% e Buxhetit të shtetit vs Kosto indikative</t>
  </si>
  <si>
    <t>% e  Financimi të huaj  vs Kosto indikative</t>
  </si>
  <si>
    <t>Kosto indikative (në mijë Lekë)</t>
  </si>
  <si>
    <t>Buxhet Shteti  (në mijë Lekë)</t>
  </si>
  <si>
    <t>Hendeku financiar (në mijë Lekë)</t>
  </si>
  <si>
    <t>Financim i Huaj  (në mijë Lekë)</t>
  </si>
  <si>
    <t>Financim i Huaj BB  (në mijë Lekë)</t>
  </si>
  <si>
    <t xml:space="preserve">Lidhja me Programin Buxhetor </t>
  </si>
  <si>
    <t>Programi 01110 Planifikim, Administrim, Menaxhim</t>
  </si>
  <si>
    <t>Produkti 3 Pr 10430 Përfitues të shërbimeve të përkujdesit social të ofruara në qëndrat rezidenciale publike</t>
  </si>
  <si>
    <t>Pr 10430 Produkti Shërbime të reja sociale për grupet në nevojë të ofruara nëpërmjet njësive vendore nga financimi i fondit social</t>
  </si>
  <si>
    <t>Programi 01110 Planifikim, Administrim, Menaxhim, Produkti 1</t>
  </si>
  <si>
    <t>f) Rishikimi i kurrikulës dhe vlerësimit të nevojave nga ana e MSHMS-së dhe rishikimi/finalizimi ,sipas komenteve dhe sugjerimeve për fëmijët rezidentë në Qendrat e Zhvillimit.</t>
  </si>
  <si>
    <t>a) Raport progresi mujore nga Njësitë e koordinimit në nivel vendor për MSHMS dhe sipas nevojës</t>
  </si>
  <si>
    <t xml:space="preserve">e) Harimi i kalendarit i takimeve të rregullta në çdo bashki për të diskutuar sfidat dhe arritjet. Dokumentimi i rasteve dhe i praktikës. </t>
  </si>
  <si>
    <t>g) Raport progresi vjetor i  ecurisë së Planit Kombëtar të De-institucionalizimit</t>
  </si>
  <si>
    <t>b) Raport progresi 6-mujore për Qeverinë  dhe sipas nevojës</t>
  </si>
  <si>
    <t>Raportet e hartuara/miratuara</t>
  </si>
  <si>
    <t xml:space="preserve">a) Hartimi dhe Kostimi i paketës minimale të shërbimeve komunitare për nënën dhe familjen në bashki. </t>
  </si>
  <si>
    <t xml:space="preserve">Programi i hartuar dhe i kostuar i ribashkimit të fëmijës me familjen. </t>
  </si>
  <si>
    <t>Manuali me praktikat më të mira i miratuar</t>
  </si>
  <si>
    <t>Raport vlerësimi i impaktit të modelit të ri-bashkimit i hartuar.</t>
  </si>
  <si>
    <t>Raporti i vlerësimit i hartuar</t>
  </si>
  <si>
    <t xml:space="preserve">l) Mbështetja dhe monitorimi në vazhdimësi si dhe evidentimi/vlerësimi i impaktit të trajnimit tek fëmijët. </t>
  </si>
  <si>
    <t xml:space="preserve">Ngritja e sherbimit alternativ ne 4 IPSH aktuale </t>
  </si>
  <si>
    <t>GTNL De-I</t>
  </si>
  <si>
    <t xml:space="preserve">a) Mbështetja e 4 njësive të qeverisjes vendore për të zhvilluar dhe integruar shërbimet e kujdesit alternativ në planet e tyre social (planet vendore të përkujdesit shoqëror) </t>
  </si>
  <si>
    <t xml:space="preserve">1.1 Rishikimi i kuadrit ligjor të shërbimeve shoqërore, për mbrojtjen  dhe përkujdesin e fëmijëve. </t>
  </si>
  <si>
    <t xml:space="preserve">e) Modelimi  dhe ngtitja  shërbimeve sociale për nënën dhe fëmijën me bazë komunitare në të paktën 3 bashki (Korçë, Vlorë, Tiranë) të konsultuara me grupet e interesit psh. Pak, Romët etc. </t>
  </si>
  <si>
    <t>2.1 Moratorium për institucionalizimin e fëmijëve</t>
  </si>
  <si>
    <t>2.3. Ndërtimi dhe funksionimi i shërbimeve psikosociale me bazë komunitare mbi parandalimin e braktisjes   së fëmijës, përfshirë dhe fëmijët PAK</t>
  </si>
  <si>
    <t>2.2 Zhvillimi i mekanizmit/ve institucionalë për parandalimin e institucionalizimit të fëmijëve</t>
  </si>
  <si>
    <t>d) Mbështetje e IPSH-ve dhe Qendrave të Zhvillimit për zbatimin e planeve individuale të zhvillimit, përkujdesjes dhe ribashkimit, duke e shoqëruar me përpjekjet për fuqizimin e familjeve</t>
  </si>
  <si>
    <t>e) De-institucionalizimi i fëmijëve me  dhe pa AK nga IPSH-të publike dhe Qendrat e Zhvillimit (IR) nëpërmjet bashkimit me familjet biologjike, kujdesit alternativ apo birësimit</t>
  </si>
  <si>
    <t>3.2 Transformimi gradual i 9 IPSH-ve (Institucione të Shërbimeve të Përkujdesit) publike  në shërbime multidisiplinare e  multifunksionale  për fëmijën dhe familjën) duke zbatuar interesin më të lartë të fëmijës</t>
  </si>
  <si>
    <t xml:space="preserve">d) Mbështetje për rialokimin e burimeve financiare dhe njerëzore për transformimin e  IPSH-ve tek shërbimet e reja </t>
  </si>
  <si>
    <t>e) Zhvillimi dhe aplikimi i protokolleve dhe mekanizmave të llogaridhënies për shërbimet e reja (të integruara në sistemin aktual të përkujdesit shoqëror)</t>
  </si>
  <si>
    <t>a) Modelimi,  kostimi dhe pilotimi i përqasjes për fuqizimin e familjes dhe ribashkimit me familjen biologjike, duke siguruar interesin më të lartë të fëmijës, në bashkëpunim më fëmijën, familjen dhe institucionet përgjegjëse.</t>
  </si>
  <si>
    <t>b) Modelimi,  kostimi dhe pilotim i ngritjes së shërbimeve multidisiplinare për mbështetjen e familjeve në IPSH-të që do të transformohen në fazën e pilotimit për të ofruar mbështetje komplekse për familjet.</t>
  </si>
  <si>
    <t xml:space="preserve">c) Monitorimi i procesit të ribashkimit, progresit të fëmijës dhe familjes, nëpërmjet këshillimit, advokimit dhe prindërimit pozitiv. </t>
  </si>
  <si>
    <t xml:space="preserve">d) Analiza e praktikave, mësimeve të nxjerra, për të informuar poltikat vendore dhe qendrore, dhe fuqizimin e familjeve për përkujdesin ndaj fëmijës. </t>
  </si>
  <si>
    <t>3.4 Hartimi dhe zbatimi i modelit të shërbimit përjetesë gjysëm të pavarur dhe të pavaruar (për fëmijët mbi 14 vjeç përfshirë fëmijët me AK)</t>
  </si>
  <si>
    <t xml:space="preserve">d) Ngritja dhe pilotimi i shërbimit të jetesës gjysëm të pavarur  për fëmijët e rritur (14- 18 vjeç)  </t>
  </si>
  <si>
    <t>3.5 Fuqizimi i zbatimit të kujdesit alternativ për të gjithë fëmijët me fokus të veçantë fëmijët 0-6 vjeç, si pjesë e IPSH-ve që do të transformohen</t>
  </si>
  <si>
    <t>4.2 Hartimi   dhe zbatimi i strategjisë kombëtare të komunikimit për De-Institucionalizimin</t>
  </si>
  <si>
    <t>4.1 Ngritja e kapaciteteve të Institucioneve Shtetërore dhe private për De-Institucionalizimin në vazhdimësi</t>
  </si>
  <si>
    <t xml:space="preserve">5.1. Koordinimi i të gjitha strukturave Shtetërore për De-Institucionalizimin e fëmijëve nga IPSH-të Publike (përfshirë Fëmijët me AK) dhe monitorimi i planit </t>
  </si>
  <si>
    <t>5.2 Monitorimi i planit të veprimit</t>
  </si>
  <si>
    <t>MSHMS, Partnerët</t>
  </si>
  <si>
    <t>Ekspert 10 ditë pune X 12'000 Lekë</t>
  </si>
  <si>
    <t>a) Analizë/studim i kuadrit ligjor ekzitues/ evidentimi i ndryshimeve të nevojshme në legjislacion, duke përfshirë hartimin e udhëzimeve për profesionistët.</t>
  </si>
  <si>
    <t xml:space="preserve">c) Konsultimi me ministritë e linjës, agjensitë zbatuese dhe grupet e interesit i draft ndryshimeve  ligjore të propozuara. </t>
  </si>
  <si>
    <t xml:space="preserve">d) Hartimi i akteve nënligjore/moduleve dhe udhëzuesve sipas reformës së shërbimeve shoqërore për fëmijë       </t>
  </si>
  <si>
    <t>Aktet nënligjore/Modelet e reja të hartuara dhe miratuara</t>
  </si>
  <si>
    <t xml:space="preserve">Paketa minimale e shërbimeve komunitare për nënën dhe familjen </t>
  </si>
  <si>
    <t xml:space="preserve">c)Hartimi dhe kostimi i progrmit të ribashkimit të fëmijës me familjen </t>
  </si>
  <si>
    <t>Model për bashkitë për të planifikuar dhe aksesuar  buxhet për shërbimet që synojnë ribashkimin e fëmijës nga Fondi Social</t>
  </si>
  <si>
    <t>Mekanizmat ligjor, administrativ dhe procedurial të përmirësuara</t>
  </si>
  <si>
    <t>Kuadri ligjor i rishikuar</t>
  </si>
  <si>
    <t>Drejtor i IIIa = 118 800+2 specialist kateg III b =95 694 3 tryeza X 10'000 Lekë</t>
  </si>
  <si>
    <t>Ekspert 14 ditë pune X 12'000 Lekë + ( 1muaj  specialist kateg III b =95 694 )</t>
  </si>
  <si>
    <t>Asnjë fëmijë 0-3 vjeç nuk institucionalizohet pas Janarit 2021 në IPSH-të publike</t>
  </si>
  <si>
    <t>b) Moratorium për institucionalizimin e fëmijëve 0-6 vjeç në 2 IPSH -të ku do të pilotohet transformimi  (Korçë, Vlorë)</t>
  </si>
  <si>
    <t>Asnjë fëmijë 0-6 vjeç nuk institucionalizohet pas prillit 2020 në 2 IPSH</t>
  </si>
  <si>
    <t xml:space="preserve">a) Hartëzim i shërbimeve të  kujdesit për fëmijë në Bashkitë e origjinës së fëmijëve të vendosur aktualisht në IPSH-të publike dhe qendrat e zhvillimit. </t>
  </si>
  <si>
    <t>a) Koordinimi me drejtuesit e IPSH-ve dhe Qendrat e Zhvillimit, publike dhe private, për fëmijët 0-18 vjeç, me bashkitë, partnerët dhe strukturat e SHSSH-së për sigurimin e mirëqenies dhe deinstitucionalizimin e fëmijëve.</t>
  </si>
  <si>
    <t xml:space="preserve"> IPSH-të, Partnerët</t>
  </si>
  <si>
    <t>j) Trajnime të stafit që do të ofrojë shërbimet, si dhe ritrajnime të stafit aktual të IPSH-ve (zhvillimi i fëmijës, manaxhimi i ndryshimit, ofrimi i shërbimeve të reja)</t>
  </si>
  <si>
    <t>n) Mentorim dhe supervizim në vazhdim për IPSH-të, Bashkitë SHSSH-në</t>
  </si>
  <si>
    <t>MSHMS, Bashkitë, IPSH-të, SHSH, Partnerët</t>
  </si>
  <si>
    <t>Ekspert 15 ditë pune X 13'000 Lekë</t>
  </si>
  <si>
    <t>Interesi më i lartë i fëmijës i siguruar</t>
  </si>
  <si>
    <t>3.1 Vlerësimi i interesit më të lartë të fëmijëve rezidentë në IPSH dhe Qendrat e Zhvillimit dhe zbatimi i planeve individuale të zhvillimit për gjithë secilin fëmijë</t>
  </si>
  <si>
    <t>Vlerësimi i fëmijëve rezident i përfunduar</t>
  </si>
  <si>
    <t>b) Hartimi i një programi konkret, me 9 plane individuale tranformimi te 9 institucioneve, bazuar ne rekomandimet e vleresimit te kryer</t>
  </si>
  <si>
    <t>c) Zhvillimi i modeleve të shërbimeve të reja, të kujdesit alternativ: 1. Shërbime për fuqizimin e familjeve (për rastet komplekse); 2. Qender mbështetëse për kujdesin alternativ; 3. Zhvillimi i modelit të kujdesit alternativ profesional/ profesionist; 4. Zhvillimi i mekanizmit për parandalimin e ndarjes së fëmijës nga familja biologjike; 5 Shërbime të strehimit emergjent të sigurtë, bazuar në nevojat dhe kapacitetet.</t>
  </si>
  <si>
    <t xml:space="preserve"> 3.3 Zhvillimi i modeleve të shërbimeve për fuqizimin e familjeve për të parandaluar ndarjet e fëmijës nga familja dhe promovimin e ribashkimit familjar,  në vijim të programit të transformimit të IPSH-ve. </t>
  </si>
  <si>
    <t xml:space="preserve">c)  Hartimi i programit (për mbështetjen financiare, strehimi, punësim, arsim  dhe mbështetja me ekip profesionistësh) për të rinjtët që dalin nga IPSH-të </t>
  </si>
  <si>
    <t>Planet individuale të zhvillimit për fëmijët dhe familjet të përfunduara</t>
  </si>
  <si>
    <t>g) Mbështetje, nëpërmjet monitorimit të vazhdueshëm të planeve individuale zhvillimit dhe të përkujdesit dhe largimit të fëmijëve në kujdes gjysëm të pavaur dhe të pavaru për gjithë secilin fëmijë të vlerësuar.</t>
  </si>
  <si>
    <t>raporte monitorimi të hartuara</t>
  </si>
  <si>
    <t>Nr. Takimesh të kryera &amp; grupi teknik i nivelit të lartë i  ngritur</t>
  </si>
  <si>
    <t xml:space="preserve">b) Mbështetja e njësive të qeverisjes vendore për riorganizimin e strukturave e nevojshme institucionale (rishikim i përshkrimve të punës), që do të bëjnë të mundur ofrimin e shërbimeve të përkujdesit alternativ,  të mbështetuara nga UNICEF në periudhën e pilotimit (planifikimin e referimit, modelin e përkujdesit, vlerësimin, trajnimin e familjeve, vednimarrjen për institucionalizimin e fëmijëve, kushtet e kontratës etj) duke prioritizuar fëmijët 0-6 vjeç. </t>
  </si>
  <si>
    <t>3 ekspertë vendorë *3 ditë/institucion ditë*13 000 lekë/ditë</t>
  </si>
  <si>
    <t>kosto administrative</t>
  </si>
  <si>
    <t>1 specialist *70000*1 muaj*3 vjet</t>
  </si>
  <si>
    <t xml:space="preserve">2 ekspertë vendorë * ditë*13 000 lekë/ditë*10ditë </t>
  </si>
  <si>
    <t>Modeli i ngritur</t>
  </si>
  <si>
    <t>Kujdesi alternativ i fuqizuar</t>
  </si>
  <si>
    <t xml:space="preserve"> Shërbimet e IPSH-vetë transformuara</t>
  </si>
  <si>
    <t>Modelet e reja të ngritura</t>
  </si>
  <si>
    <t>Kosto e 2 expertë teknikë *5 000 lekë*20 ditë</t>
  </si>
  <si>
    <t>Paga e specialistit të bashkisë 2 muaj* 70000 në vit</t>
  </si>
  <si>
    <t>Paga e specialistit të bashkisë 2 muaj* 70000 në vit + paga e specialistit DRSHSSH 2 muaj *80000</t>
  </si>
  <si>
    <t>kohë punë nga koha e Punonjëses së mbrojtjes së fëmijës 1 muaj në vit*70000*3</t>
  </si>
  <si>
    <t xml:space="preserve">Ekspertiza nga MSHMS (3 persona *1 muaj në vit nivel ( drejtor i IIIa = 118 800+ specialist kateg III b =95 694)/ + shpenzime operative 40'000 </t>
  </si>
  <si>
    <t>e) Organizimi i aktiviteteve informuese dhe ndërgjegjësuese në vazhdimësi, për parandalimin e braktisjes/lënies dhe mbështetjen e hershme. Zbatimi në tërësi i strategjisë dhe aktiviteteve të komunikimi</t>
  </si>
  <si>
    <t>Ekspertiza nga MSHMS (3 persona *1 muaj nivel ( drejtor i IIIa = 118 800+1 specialist kateg III b =95 694) çdo vit</t>
  </si>
  <si>
    <t xml:space="preserve">(Expertë Lokalë 10 ditë *13 000 leke/ ditë x 1 expertë) </t>
  </si>
  <si>
    <t>Kapacitete institucioanle të ngritura dhe ndërgjegjësuara</t>
  </si>
  <si>
    <t>Kapacitetet institucionale të rritura në Bashki për vetëadministrimin(i) Numri i zyrtarëve bashive të trajnuar mbi çështjen; (ii) Numri i takimeve me bashkitë</t>
  </si>
  <si>
    <t xml:space="preserve"> Mekanizmi për monitorimin e planit të veprimit të De-I i përmirësuar</t>
  </si>
  <si>
    <t>c) Hartimi i raporteve të progresit vjetore për sfidat dhe mësimet e nxjerra për rolin e punonjësit social, fushatat e komunikimit, funksionimin e mekanizmit të referimit etj dhe ndarja me MSHMS, ShSSh.</t>
  </si>
  <si>
    <t>Raporte periodike të hartuara/miratuara</t>
  </si>
  <si>
    <t>Raportet e monitorimit të hartuara/miratuara</t>
  </si>
  <si>
    <t>Raporti vjetor i finalizuar/miratuar në GTMS/IPMG</t>
  </si>
  <si>
    <t xml:space="preserve"> Pagesa për 2 ekspertë për 5 ditë pune në vit *13 000 lekë në ditë  + Drejtor i IIIa = 118 800* një muaj në vit dhe shpenzime administrative për 3 treyza konsultimi dhe 3 takime publike për prezantimin 10000 çdo takim </t>
  </si>
  <si>
    <t>Plani monitorohet periodikisht</t>
  </si>
  <si>
    <t>Plani zbatohet në mënyrë të koordinuar</t>
  </si>
  <si>
    <t>Drejtor i IIIa = 118 800+2 specialist kateg III b =95 694 për tre ditë</t>
  </si>
  <si>
    <t>e)  Rishikimi i kritereve dhe procedurave të licensimit për OJF-të që ofrojnë shërbime të kujdesit social dhe miratimi i tyre me vendim të Këshillit të Ministrave</t>
  </si>
  <si>
    <t>VKM mbi Kriteret dhe procedurat e reja të licensimit të rishikuara</t>
  </si>
  <si>
    <t xml:space="preserve">f) Hartimi  dhe  pilotimi i një modeli shërbimi ditor, si dhe mundësitë për të mbështetur familjen, shërbim të specializuar për fëmijët. (Qendra e Zhvillimit Durrës).  </t>
  </si>
  <si>
    <t>Drejtor i IIIa = 118 800+2 specialist kateg III b =95 694 për 5 ditë</t>
  </si>
  <si>
    <t>Moratoriumet e miratuara</t>
  </si>
  <si>
    <t>Ulja e numrit të fëmijëve të institucionalizuar</t>
  </si>
  <si>
    <t xml:space="preserve">Mekoanzimat institucionalë për parandalim janë ngritur </t>
  </si>
  <si>
    <t>Shërbimet psikocociale me bazë komunitare të ngritura</t>
  </si>
  <si>
    <t>Mekanizmat financiarë të miratuara</t>
  </si>
  <si>
    <t>f) Pilotimi i transformimit të IPSH-ve në shërbime të reja në Korçë dhe Vlorë</t>
  </si>
  <si>
    <t xml:space="preserve"> 3.3 Zhvillimi i modeleve të shërbimeve për fuqizimin e familjeve për të parandaluar ndarjet e fëmijës nga familja dhe promovimin e ribashkimit familjar, si pjesë e transformimit të IPSH-ve. </t>
  </si>
  <si>
    <t>a) Hartimi dhe miratimi i strategjisë kombëtare të komunikimit për de-Institucionalizimin</t>
  </si>
  <si>
    <t>2 ekspertë vendorë *5ditë *13000 +drejtor i IIIa =118 800+1 specialist kateg III b =95 694 nga 1/2 muaj</t>
  </si>
  <si>
    <t>4 ekspertë vendorë * ditë*13 000 lekë/ditë*2 ditë +  drejtor i IIIa =118 800+1 specialist kateg III b =95 694 nga 1/2 muaj</t>
  </si>
  <si>
    <t>Ekspert 5 ditë pune X 13'000 Lekë</t>
  </si>
  <si>
    <t>b) Hartimi i ndryshimive ligjore, adminisrative dhe proceduriale bazuar në rekomandimet e studimit</t>
  </si>
  <si>
    <t xml:space="preserve">d) Hartimi i udhëzuesit për bashkitë për të planifikuar  dhe aplikuar nw kuadwr tw Fondit Social për ngritjn e shërbimeve që synojnë  ribashkimin e fëmijës </t>
  </si>
  <si>
    <t>b) Hartimi dhe kostimi i modeleve të reja të shërbimit sipas  reformës së shërbimeve shoqërore për fëmijë</t>
  </si>
  <si>
    <t>a) Modelimi, kostimi i shërbimit të jetesës gjysëm të pavarur dhe të pavarur (përfshirë kosto, modalitete, praktika dhe udhëzues)</t>
  </si>
  <si>
    <t>ISHSH</t>
  </si>
  <si>
    <t>1.2 Rregullimi i kuadrit finaciar të shërbimeve të reja ttë përkujdesit shoqëror të modeluara në kuadër të de-institucionalizimit</t>
  </si>
  <si>
    <t>f) Mbështetja e rasteve të identifikuar për ribashkim me familjen biologjike - Faza e parë</t>
  </si>
  <si>
    <t>j) Takime konsultative me drejtorët e qendrave të zhvillimit dhe OJF-të për draftimin e moduleve/kurikulave në lidhje me vetëkujdesjen dhe jetësën gjysëm të pavarur për fëmijët më aftësi të kufizuar. Ngritja e një grupi teknik të nivelit të lartë për hartimin  e moduleve/kurikulave në lidhje me jetësën e pavarur të fëmijëve me aftësi të kufizuar</t>
  </si>
  <si>
    <t>II. Qëllimi i Politikës:  Deri në vitin 2022, çdo fëmijë në institucionet e përkujdesit  shoqëror përfshirë qendrat e zhvillimit, apo në rrezik institucionalizimi do të mbështetet me shërbime të reja alternative, në familje kujdestare apo shërbime të specializuara.</t>
  </si>
  <si>
    <r>
      <t xml:space="preserve">II. Qëllimi i Politikës:  </t>
    </r>
    <r>
      <rPr>
        <sz val="10"/>
        <rFont val="Times New Roman"/>
        <family val="1"/>
      </rPr>
      <t>Deri në vitin 2022, çdo fëmijë në institucionet e përkujdesit  shoqëror përfshirë qendrat e zhvillimit, apo në rrezik institucionalizimi do të mbështetet me shërbime të reja alternative, në familje kujdestare apo shërbime të specializuara.</t>
    </r>
  </si>
  <si>
    <t>Produkti Shërbime të reja sociale për grupet në nevojë të ofruara nëpërmjet njësive vendore nga financimi i fondit social&amp; Produkti 3 Pr 10430 Përfitues të shërbimeve të përkujdesit social të ofruara në qëndrat rezidenciale publike</t>
  </si>
  <si>
    <t xml:space="preserve">Programi 10430 Përkujdesi Social &amp; Programi 01110 </t>
  </si>
  <si>
    <t>Produkti 1 Akte ligjore e nënligjore të miratuara, Pr.01110</t>
  </si>
  <si>
    <t>Produkti 1 Akte ligjore e nënligjore të miratuara, Pr.01110 &amp; Pr 10430 Produkti Shërbime të reja sociale për grupet në nevojë të ofruara nëpërmjet njësive vendore nga financimi i fondit social</t>
  </si>
  <si>
    <t>Produkti 1 Akte ligjore e nënligjore të miratuara, Pr.01110&amp; Pr 10430 Produkti Shërbime të reja sociale për grupet në nevojë të ofruara nëpërmjet njësive vendore nga financimi i fondit social</t>
  </si>
  <si>
    <t>Programi 10430 Përkujdesi Social</t>
  </si>
  <si>
    <t>Produkti 1 Akte ligjore e nënligjore të miratuara, Pr.01110 &amp; Pr 10430 Produkti 3</t>
  </si>
  <si>
    <t>Produkti 1 Akte ligjore e nën ligjore të miratuara, Pr.01110</t>
  </si>
  <si>
    <t>Produkti 1 Akte ligjore e nënligjore të miratuara, Pr.01109</t>
  </si>
  <si>
    <t xml:space="preserve">Pr. 10140 “Programi i Kujdesit Social për personat e sëmurë dhe me aftësi të kufizuar”.,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</si>
</sst>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_)_ ;_ * \(#,##0\)_ ;_ * &quot;-&quot;_)_ ;_ @_ 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A2F6"/>
        <bgColor indexed="64"/>
      </patternFill>
    </fill>
    <fill>
      <patternFill patternType="solid">
        <fgColor rgb="FFF6A2F6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E6E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0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0" borderId="1" xfId="0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left" vertical="top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165" fontId="8" fillId="0" borderId="1" xfId="1" applyNumberFormat="1" applyFont="1" applyFill="1" applyBorder="1" applyAlignment="1">
      <alignment vertical="center" wrapText="1"/>
    </xf>
    <xf numFmtId="164" fontId="1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3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4" fillId="0" borderId="0" xfId="1" applyNumberFormat="1" applyFont="1"/>
    <xf numFmtId="165" fontId="8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5" fontId="2" fillId="9" borderId="1" xfId="0" applyNumberFormat="1" applyFont="1" applyFill="1" applyBorder="1" applyAlignment="1">
      <alignment vertical="center"/>
    </xf>
    <xf numFmtId="0" fontId="8" fillId="0" borderId="1" xfId="1" applyNumberFormat="1" applyFont="1" applyBorder="1" applyAlignment="1">
      <alignment vertical="center"/>
    </xf>
    <xf numFmtId="0" fontId="8" fillId="0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10" borderId="1" xfId="0" applyNumberFormat="1" applyFont="1" applyFill="1" applyBorder="1" applyAlignment="1">
      <alignment vertical="center"/>
    </xf>
    <xf numFmtId="0" fontId="11" fillId="0" borderId="0" xfId="0" applyFont="1"/>
    <xf numFmtId="165" fontId="1" fillId="0" borderId="1" xfId="1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Border="1"/>
    <xf numFmtId="165" fontId="8" fillId="0" borderId="1" xfId="0" applyNumberFormat="1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vertical="center"/>
    </xf>
    <xf numFmtId="0" fontId="1" fillId="0" borderId="1" xfId="0" applyFont="1" applyFill="1" applyBorder="1"/>
    <xf numFmtId="164" fontId="5" fillId="0" borderId="0" xfId="2" applyFont="1"/>
    <xf numFmtId="1" fontId="5" fillId="0" borderId="1" xfId="0" applyNumberFormat="1" applyFont="1" applyFill="1" applyBorder="1" applyAlignment="1">
      <alignment vertical="center"/>
    </xf>
    <xf numFmtId="164" fontId="5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top" wrapText="1"/>
    </xf>
    <xf numFmtId="164" fontId="1" fillId="0" borderId="1" xfId="2" applyFont="1" applyFill="1" applyBorder="1" applyAlignment="1">
      <alignment horizontal="center" vertical="center" wrapText="1"/>
    </xf>
    <xf numFmtId="0" fontId="1" fillId="2" borderId="0" xfId="0" applyFont="1" applyFill="1"/>
    <xf numFmtId="0" fontId="1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5" fontId="4" fillId="0" borderId="5" xfId="1" applyNumberFormat="1" applyFont="1" applyBorder="1"/>
    <xf numFmtId="0" fontId="0" fillId="0" borderId="6" xfId="0" applyBorder="1"/>
    <xf numFmtId="165" fontId="4" fillId="0" borderId="6" xfId="1" applyNumberFormat="1" applyFont="1" applyBorder="1"/>
    <xf numFmtId="0" fontId="0" fillId="0" borderId="7" xfId="0" applyBorder="1"/>
    <xf numFmtId="165" fontId="4" fillId="0" borderId="8" xfId="1" applyNumberFormat="1" applyFont="1" applyBorder="1"/>
    <xf numFmtId="0" fontId="0" fillId="0" borderId="9" xfId="0" applyBorder="1"/>
    <xf numFmtId="0" fontId="13" fillId="0" borderId="10" xfId="0" applyFont="1" applyFill="1" applyBorder="1"/>
    <xf numFmtId="165" fontId="13" fillId="0" borderId="10" xfId="0" applyNumberFormat="1" applyFont="1" applyBorder="1"/>
    <xf numFmtId="0" fontId="0" fillId="0" borderId="11" xfId="0" applyBorder="1"/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10" fontId="4" fillId="0" borderId="6" xfId="3" applyNumberFormat="1" applyFont="1" applyBorder="1"/>
    <xf numFmtId="10" fontId="4" fillId="0" borderId="8" xfId="3" applyNumberFormat="1" applyFont="1" applyBorder="1"/>
    <xf numFmtId="0" fontId="0" fillId="0" borderId="13" xfId="0" applyBorder="1"/>
    <xf numFmtId="0" fontId="0" fillId="0" borderId="14" xfId="0" applyBorder="1"/>
    <xf numFmtId="10" fontId="4" fillId="0" borderId="14" xfId="3" applyNumberFormat="1" applyFont="1" applyBorder="1"/>
    <xf numFmtId="10" fontId="4" fillId="0" borderId="15" xfId="3" applyNumberFormat="1" applyFont="1" applyBorder="1"/>
    <xf numFmtId="0" fontId="1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" fillId="0" borderId="0" xfId="0" applyFont="1" applyFill="1"/>
    <xf numFmtId="0" fontId="5" fillId="0" borderId="0" xfId="0" applyFont="1" applyAlignment="1">
      <alignment horizontal="center"/>
    </xf>
    <xf numFmtId="43" fontId="1" fillId="0" borderId="0" xfId="1" applyFont="1"/>
    <xf numFmtId="43" fontId="5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vertical="center"/>
    </xf>
    <xf numFmtId="0" fontId="5" fillId="0" borderId="1" xfId="0" applyFont="1" applyFill="1" applyBorder="1"/>
    <xf numFmtId="43" fontId="2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11" borderId="1" xfId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2" fillId="12" borderId="1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43" fontId="2" fillId="13" borderId="1" xfId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0" borderId="16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165" fontId="2" fillId="9" borderId="17" xfId="0" applyNumberFormat="1" applyFont="1" applyFill="1" applyBorder="1" applyAlignment="1">
      <alignment horizontal="center" vertical="center"/>
    </xf>
    <xf numFmtId="43" fontId="2" fillId="11" borderId="18" xfId="1" applyFont="1" applyFill="1" applyBorder="1" applyAlignment="1">
      <alignment horizontal="center" vertical="center" wrapText="1"/>
    </xf>
    <xf numFmtId="43" fontId="2" fillId="11" borderId="17" xfId="1" applyFont="1" applyFill="1" applyBorder="1" applyAlignment="1">
      <alignment horizontal="center" vertical="center" wrapText="1"/>
    </xf>
    <xf numFmtId="43" fontId="2" fillId="12" borderId="18" xfId="1" applyFont="1" applyFill="1" applyBorder="1" applyAlignment="1">
      <alignment horizontal="center" vertical="center" wrapText="1"/>
    </xf>
    <xf numFmtId="43" fontId="2" fillId="12" borderId="17" xfId="1" applyFont="1" applyFill="1" applyBorder="1" applyAlignment="1">
      <alignment horizontal="center" vertical="center" wrapText="1"/>
    </xf>
    <xf numFmtId="43" fontId="2" fillId="13" borderId="18" xfId="1" applyFont="1" applyFill="1" applyBorder="1" applyAlignment="1">
      <alignment horizontal="center" vertical="center" wrapText="1"/>
    </xf>
    <xf numFmtId="43" fontId="2" fillId="13" borderId="17" xfId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 wrapText="1"/>
    </xf>
    <xf numFmtId="1" fontId="2" fillId="3" borderId="1" xfId="2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5" fontId="2" fillId="0" borderId="19" xfId="0" applyNumberFormat="1" applyFont="1" applyBorder="1" applyAlignment="1">
      <alignment vertical="top" wrapText="1"/>
    </xf>
    <xf numFmtId="165" fontId="2" fillId="0" borderId="20" xfId="0" applyNumberFormat="1" applyFont="1" applyBorder="1" applyAlignment="1">
      <alignment horizontal="left" vertical="top"/>
    </xf>
    <xf numFmtId="165" fontId="2" fillId="3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/>
    <xf numFmtId="1" fontId="2" fillId="2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 wrapText="1"/>
    </xf>
    <xf numFmtId="164" fontId="2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" fillId="8" borderId="17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165" fontId="2" fillId="9" borderId="21" xfId="0" applyNumberFormat="1" applyFont="1" applyFill="1" applyBorder="1" applyAlignment="1">
      <alignment horizontal="center" vertical="center"/>
    </xf>
    <xf numFmtId="165" fontId="2" fillId="4" borderId="17" xfId="1" applyNumberFormat="1" applyFont="1" applyFill="1" applyBorder="1" applyAlignment="1">
      <alignment horizontal="center" vertical="center" wrapText="1"/>
    </xf>
    <xf numFmtId="165" fontId="2" fillId="4" borderId="21" xfId="1" applyNumberFormat="1" applyFont="1" applyFill="1" applyBorder="1" applyAlignment="1">
      <alignment horizontal="center" vertical="center" wrapText="1"/>
    </xf>
    <xf numFmtId="164" fontId="2" fillId="3" borderId="17" xfId="2" applyFont="1" applyFill="1" applyBorder="1" applyAlignment="1">
      <alignment horizontal="center" vertical="center" wrapText="1"/>
    </xf>
    <xf numFmtId="164" fontId="2" fillId="3" borderId="21" xfId="2" applyFont="1" applyFill="1" applyBorder="1" applyAlignment="1">
      <alignment horizontal="center" vertical="center" wrapText="1"/>
    </xf>
    <xf numFmtId="165" fontId="8" fillId="0" borderId="17" xfId="1" applyNumberFormat="1" applyFont="1" applyFill="1" applyBorder="1" applyAlignment="1">
      <alignment vertical="center"/>
    </xf>
    <xf numFmtId="165" fontId="8" fillId="0" borderId="21" xfId="1" applyNumberFormat="1" applyFont="1" applyBorder="1" applyAlignment="1">
      <alignment vertical="center"/>
    </xf>
    <xf numFmtId="165" fontId="8" fillId="0" borderId="21" xfId="1" applyNumberFormat="1" applyFont="1" applyFill="1" applyBorder="1" applyAlignment="1">
      <alignment vertical="center"/>
    </xf>
    <xf numFmtId="165" fontId="2" fillId="3" borderId="17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165" fontId="8" fillId="0" borderId="22" xfId="1" applyNumberFormat="1" applyFont="1" applyFill="1" applyBorder="1" applyAlignment="1">
      <alignment vertical="center"/>
    </xf>
    <xf numFmtId="165" fontId="8" fillId="0" borderId="23" xfId="1" applyNumberFormat="1" applyFont="1" applyFill="1" applyBorder="1" applyAlignment="1">
      <alignment vertical="center"/>
    </xf>
    <xf numFmtId="165" fontId="5" fillId="0" borderId="23" xfId="0" applyNumberFormat="1" applyFont="1" applyFill="1" applyBorder="1" applyAlignment="1">
      <alignment vertical="center"/>
    </xf>
    <xf numFmtId="165" fontId="8" fillId="0" borderId="24" xfId="1" applyNumberFormat="1" applyFont="1" applyFill="1" applyBorder="1" applyAlignment="1">
      <alignment vertical="center"/>
    </xf>
    <xf numFmtId="0" fontId="1" fillId="7" borderId="17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vertical="center"/>
    </xf>
    <xf numFmtId="0" fontId="8" fillId="0" borderId="21" xfId="1" applyNumberFormat="1" applyFont="1" applyBorder="1" applyAlignment="1">
      <alignment vertical="center"/>
    </xf>
    <xf numFmtId="43" fontId="5" fillId="0" borderId="17" xfId="1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43" fontId="5" fillId="0" borderId="23" xfId="0" applyNumberFormat="1" applyFont="1" applyFill="1" applyBorder="1" applyAlignment="1">
      <alignment vertical="center"/>
    </xf>
    <xf numFmtId="0" fontId="7" fillId="9" borderId="16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165" fontId="1" fillId="0" borderId="17" xfId="1" applyNumberFormat="1" applyFont="1" applyFill="1" applyBorder="1" applyAlignment="1">
      <alignment horizontal="center" vertical="center" wrapText="1"/>
    </xf>
    <xf numFmtId="165" fontId="1" fillId="0" borderId="21" xfId="1" applyNumberFormat="1" applyFont="1" applyFill="1" applyBorder="1" applyAlignment="1">
      <alignment horizontal="center" vertical="center" wrapText="1"/>
    </xf>
    <xf numFmtId="164" fontId="1" fillId="0" borderId="17" xfId="2" applyFont="1" applyBorder="1" applyAlignment="1">
      <alignment horizontal="center" vertical="center" wrapText="1"/>
    </xf>
    <xf numFmtId="165" fontId="1" fillId="0" borderId="21" xfId="1" applyNumberFormat="1" applyFont="1" applyBorder="1" applyAlignment="1">
      <alignment horizontal="center" vertical="center" wrapText="1"/>
    </xf>
    <xf numFmtId="164" fontId="1" fillId="0" borderId="17" xfId="2" applyFont="1" applyFill="1" applyBorder="1" applyAlignment="1">
      <alignment horizontal="center" vertical="center" wrapText="1"/>
    </xf>
    <xf numFmtId="164" fontId="1" fillId="0" borderId="22" xfId="2" applyFont="1" applyBorder="1" applyAlignment="1">
      <alignment horizontal="center" vertical="center" wrapText="1"/>
    </xf>
    <xf numFmtId="165" fontId="1" fillId="0" borderId="23" xfId="1" applyNumberFormat="1" applyFont="1" applyFill="1" applyBorder="1" applyAlignment="1">
      <alignment horizontal="center" vertical="center" wrapText="1"/>
    </xf>
    <xf numFmtId="164" fontId="1" fillId="0" borderId="23" xfId="2" applyFont="1" applyBorder="1" applyAlignment="1">
      <alignment horizontal="center" vertical="center" wrapText="1"/>
    </xf>
    <xf numFmtId="165" fontId="1" fillId="0" borderId="24" xfId="1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5" fontId="2" fillId="10" borderId="17" xfId="0" applyNumberFormat="1" applyFont="1" applyFill="1" applyBorder="1" applyAlignment="1">
      <alignment vertical="center"/>
    </xf>
    <xf numFmtId="165" fontId="2" fillId="10" borderId="21" xfId="0" applyNumberFormat="1" applyFont="1" applyFill="1" applyBorder="1" applyAlignment="1">
      <alignment vertical="center"/>
    </xf>
    <xf numFmtId="165" fontId="2" fillId="4" borderId="17" xfId="0" applyNumberFormat="1" applyFont="1" applyFill="1" applyBorder="1" applyAlignment="1">
      <alignment vertical="center"/>
    </xf>
    <xf numFmtId="165" fontId="2" fillId="4" borderId="21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165" fontId="8" fillId="0" borderId="17" xfId="1" applyNumberFormat="1" applyFont="1" applyFill="1" applyBorder="1" applyAlignment="1">
      <alignment vertical="center" wrapText="1"/>
    </xf>
    <xf numFmtId="165" fontId="8" fillId="0" borderId="21" xfId="1" applyNumberFormat="1" applyFont="1" applyFill="1" applyBorder="1" applyAlignment="1">
      <alignment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vertical="center" wrapText="1"/>
    </xf>
    <xf numFmtId="165" fontId="8" fillId="0" borderId="21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65" fontId="8" fillId="0" borderId="17" xfId="1" applyNumberFormat="1" applyFont="1" applyBorder="1" applyAlignment="1">
      <alignment vertical="center"/>
    </xf>
    <xf numFmtId="165" fontId="5" fillId="0" borderId="23" xfId="1" applyNumberFormat="1" applyFont="1" applyFill="1" applyBorder="1" applyAlignment="1">
      <alignment vertical="center"/>
    </xf>
    <xf numFmtId="164" fontId="8" fillId="0" borderId="23" xfId="1" applyNumberFormat="1" applyFont="1" applyFill="1" applyBorder="1" applyAlignment="1">
      <alignment vertical="center"/>
    </xf>
    <xf numFmtId="0" fontId="7" fillId="4" borderId="16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65" fontId="2" fillId="4" borderId="17" xfId="0" applyNumberFormat="1" applyFont="1" applyFill="1" applyBorder="1" applyAlignment="1">
      <alignment horizontal="center" vertical="center"/>
    </xf>
    <xf numFmtId="165" fontId="2" fillId="4" borderId="21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vertical="center" wrapText="1"/>
    </xf>
    <xf numFmtId="165" fontId="7" fillId="0" borderId="21" xfId="0" applyNumberFormat="1" applyFont="1" applyFill="1" applyBorder="1" applyAlignment="1">
      <alignment vertical="center" wrapText="1"/>
    </xf>
    <xf numFmtId="165" fontId="8" fillId="0" borderId="17" xfId="0" applyNumberFormat="1" applyFont="1" applyFill="1" applyBorder="1" applyAlignment="1">
      <alignment horizontal="left" vertical="center" wrapText="1"/>
    </xf>
    <xf numFmtId="165" fontId="8" fillId="0" borderId="21" xfId="0" applyNumberFormat="1" applyFont="1" applyFill="1" applyBorder="1" applyAlignment="1">
      <alignment horizontal="left" vertical="center" wrapText="1"/>
    </xf>
    <xf numFmtId="165" fontId="7" fillId="0" borderId="21" xfId="1" applyNumberFormat="1" applyFont="1" applyFill="1" applyBorder="1" applyAlignment="1">
      <alignment vertical="center" wrapText="1"/>
    </xf>
    <xf numFmtId="165" fontId="7" fillId="0" borderId="17" xfId="0" applyNumberFormat="1" applyFont="1" applyFill="1" applyBorder="1" applyAlignment="1">
      <alignment horizontal="left" vertical="center" wrapText="1"/>
    </xf>
    <xf numFmtId="165" fontId="7" fillId="0" borderId="21" xfId="0" applyNumberFormat="1" applyFont="1" applyFill="1" applyBorder="1" applyAlignment="1">
      <alignment horizontal="left" vertical="center" wrapText="1"/>
    </xf>
    <xf numFmtId="165" fontId="5" fillId="0" borderId="22" xfId="0" applyNumberFormat="1" applyFont="1" applyFill="1" applyBorder="1" applyAlignment="1">
      <alignment vertical="center"/>
    </xf>
    <xf numFmtId="165" fontId="5" fillId="0" borderId="24" xfId="0" applyNumberFormat="1" applyFont="1" applyFill="1" applyBorder="1" applyAlignment="1">
      <alignment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9" borderId="17" xfId="0" applyNumberFormat="1" applyFont="1" applyFill="1" applyBorder="1" applyAlignment="1">
      <alignment vertical="center"/>
    </xf>
    <xf numFmtId="165" fontId="2" fillId="9" borderId="21" xfId="0" applyNumberFormat="1" applyFont="1" applyFill="1" applyBorder="1" applyAlignment="1">
      <alignment vertical="center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165" fontId="5" fillId="0" borderId="17" xfId="1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21" xfId="1" applyNumberFormat="1" applyFont="1" applyFill="1" applyBorder="1" applyAlignment="1">
      <alignment vertical="center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3" fontId="2" fillId="0" borderId="34" xfId="1" applyFont="1" applyBorder="1" applyAlignment="1">
      <alignment horizontal="center" vertical="center" wrapText="1"/>
    </xf>
    <xf numFmtId="43" fontId="2" fillId="0" borderId="26" xfId="1" applyFont="1" applyBorder="1" applyAlignment="1">
      <alignment horizontal="center" vertical="center" wrapText="1"/>
    </xf>
    <xf numFmtId="43" fontId="2" fillId="12" borderId="29" xfId="1" applyFont="1" applyFill="1" applyBorder="1" applyAlignment="1">
      <alignment horizontal="center" vertical="center" wrapText="1"/>
    </xf>
    <xf numFmtId="43" fontId="2" fillId="12" borderId="21" xfId="1" applyFont="1" applyFill="1" applyBorder="1" applyAlignment="1">
      <alignment horizontal="center" vertical="center" wrapText="1"/>
    </xf>
    <xf numFmtId="43" fontId="2" fillId="13" borderId="28" xfId="1" applyFont="1" applyFill="1" applyBorder="1" applyAlignment="1">
      <alignment horizontal="center" vertical="center" wrapText="1"/>
    </xf>
    <xf numFmtId="43" fontId="2" fillId="13" borderId="1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43" fontId="2" fillId="12" borderId="28" xfId="1" applyFont="1" applyFill="1" applyBorder="1" applyAlignment="1">
      <alignment horizontal="center" vertical="center" wrapText="1"/>
    </xf>
    <xf numFmtId="43" fontId="2" fillId="12" borderId="1" xfId="1" applyFont="1" applyFill="1" applyBorder="1" applyAlignment="1">
      <alignment horizontal="center" vertical="center" wrapText="1"/>
    </xf>
    <xf numFmtId="43" fontId="2" fillId="13" borderId="29" xfId="1" applyFont="1" applyFill="1" applyBorder="1" applyAlignment="1">
      <alignment horizontal="center" vertical="center" wrapText="1"/>
    </xf>
    <xf numFmtId="43" fontId="2" fillId="13" borderId="21" xfId="1" applyFont="1" applyFill="1" applyBorder="1" applyAlignment="1">
      <alignment horizontal="center" vertical="center" wrapText="1"/>
    </xf>
    <xf numFmtId="43" fontId="2" fillId="11" borderId="28" xfId="1" applyFont="1" applyFill="1" applyBorder="1" applyAlignment="1">
      <alignment horizontal="center" vertical="center" wrapText="1"/>
    </xf>
    <xf numFmtId="43" fontId="2" fillId="11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11" borderId="29" xfId="1" applyFont="1" applyFill="1" applyBorder="1" applyAlignment="1">
      <alignment horizontal="center" vertical="center" wrapText="1"/>
    </xf>
    <xf numFmtId="43" fontId="2" fillId="11" borderId="21" xfId="1" applyFont="1" applyFill="1" applyBorder="1" applyAlignment="1">
      <alignment horizontal="center" vertical="center" wrapText="1"/>
    </xf>
    <xf numFmtId="43" fontId="2" fillId="0" borderId="30" xfId="1" applyFont="1" applyBorder="1" applyAlignment="1">
      <alignment horizontal="center" vertical="center" wrapText="1"/>
    </xf>
    <xf numFmtId="43" fontId="2" fillId="0" borderId="31" xfId="1" applyFont="1" applyBorder="1" applyAlignment="1">
      <alignment horizontal="center" vertical="center" wrapText="1"/>
    </xf>
    <xf numFmtId="43" fontId="2" fillId="0" borderId="32" xfId="1" applyFont="1" applyBorder="1" applyAlignment="1">
      <alignment horizontal="center" vertical="center" wrapText="1"/>
    </xf>
    <xf numFmtId="43" fontId="2" fillId="0" borderId="33" xfId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4" Type="http://schemas.openxmlformats.org/officeDocument/2006/relationships/revisionHeaders" Target="revisions/revisionHeaders.xml"/><Relationship Id="rId15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Struktura e Kostove dhe  Burimet e financimit për</a:t>
            </a:r>
            <a:r>
              <a:rPr lang="en-US" sz="1400" baseline="0">
                <a:latin typeface="+mj-lt"/>
              </a:rPr>
              <a:t> </a:t>
            </a:r>
            <a:r>
              <a:rPr lang="en-US" sz="1400">
                <a:latin typeface="+mj-lt"/>
              </a:rPr>
              <a:t>De-Institucionalizimin 2020-2022 (000/Lekë)</a:t>
            </a:r>
          </a:p>
          <a:p>
            <a:pPr>
              <a:defRPr lang="en-U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dk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Grafik!$C$2</c:f>
              <c:strCache>
                <c:ptCount val="1"/>
                <c:pt idx="0">
                  <c:v>Kosto indikative (në mijë Lekë)</c:v>
                </c:pt>
              </c:strCache>
            </c:strRef>
          </c:tx>
          <c:spPr>
            <a:solidFill>
              <a:schemeClr val="accent6"/>
            </a:solidFill>
            <a:ln w="6350" cap="flat" cmpd="sng" algn="ctr">
              <a:solidFill>
                <a:schemeClr val="accent6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6">
                  <a:shade val="50000"/>
                </a:schemeClr>
              </a:contourClr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Grafik!$A$3:$B$5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Grafik!$C$3:$C$5</c:f>
              <c:numCache>
                <c:formatCode>_(* #,##0_);_(* \(#,##0\);_(* "-"??_);_(@_)</c:formatCode>
                <c:ptCount val="3"/>
                <c:pt idx="0">
                  <c:v>35668.5</c:v>
                </c:pt>
                <c:pt idx="1">
                  <c:v>18469.5</c:v>
                </c:pt>
                <c:pt idx="2">
                  <c:v>11726.0</c:v>
                </c:pt>
              </c:numCache>
            </c:numRef>
          </c:val>
        </c:ser>
        <c:ser>
          <c:idx val="1"/>
          <c:order val="1"/>
          <c:tx>
            <c:strRef>
              <c:f>Grafik!$D$2</c:f>
              <c:strCache>
                <c:ptCount val="1"/>
                <c:pt idx="0">
                  <c:v>Buxhet Shteti  (në mijë Lekë)</c:v>
                </c:pt>
              </c:strCache>
            </c:strRef>
          </c:tx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.066344993968637"/>
                  <c:y val="-0.006613756613756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Grafik!$A$3:$B$5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Grafik!$D$3:$D$5</c:f>
              <c:numCache>
                <c:formatCode>_(* #,##0_);_(* \(#,##0\);_(* "-"??_);_(@_)</c:formatCode>
                <c:ptCount val="3"/>
                <c:pt idx="0">
                  <c:v>14571.5</c:v>
                </c:pt>
                <c:pt idx="1">
                  <c:v>9390.5</c:v>
                </c:pt>
                <c:pt idx="2">
                  <c:v>7926.0</c:v>
                </c:pt>
              </c:numCache>
            </c:numRef>
          </c:val>
        </c:ser>
        <c:ser>
          <c:idx val="2"/>
          <c:order val="2"/>
          <c:tx>
            <c:strRef>
              <c:f>Grafik!$E$2</c:f>
              <c:strCache>
                <c:ptCount val="1"/>
                <c:pt idx="0">
                  <c:v>Financim i Huaj  (në mijë Lekë)</c:v>
                </c:pt>
              </c:strCache>
            </c:strRef>
          </c:tx>
          <c:spPr>
            <a:solidFill>
              <a:schemeClr val="accent4"/>
            </a:solidFill>
            <a:ln w="6350" cap="flat" cmpd="sng" algn="ctr">
              <a:solidFill>
                <a:schemeClr val="accent4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4">
                  <a:shade val="50000"/>
                </a:schemeClr>
              </a:contourClr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Grafik!$A$3:$B$5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Grafik!$E$3:$E$5</c:f>
              <c:numCache>
                <c:formatCode>_(* #,##0_);_(* \(#,##0\);_(* "-"??_);_(@_)</c:formatCode>
                <c:ptCount val="3"/>
                <c:pt idx="0">
                  <c:v>21323.0</c:v>
                </c:pt>
                <c:pt idx="1">
                  <c:v>9079.0</c:v>
                </c:pt>
                <c:pt idx="2">
                  <c:v>3800.0</c:v>
                </c:pt>
              </c:numCache>
            </c:numRef>
          </c:val>
        </c:ser>
        <c:ser>
          <c:idx val="3"/>
          <c:order val="3"/>
          <c:tx>
            <c:strRef>
              <c:f>Grafik!$F$2</c:f>
              <c:strCache>
                <c:ptCount val="1"/>
                <c:pt idx="0">
                  <c:v>Hendeku financiar (në mijë Lekë)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6350" cap="flat" cmpd="sng" algn="ctr">
              <a:solidFill>
                <a:schemeClr val="accent6">
                  <a:lumMod val="60000"/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6">
                  <a:lumMod val="60000"/>
                  <a:shade val="50000"/>
                </a:schemeClr>
              </a:contourClr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Grafik!$A$3:$B$5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Grafik!$F$3:$F$5</c:f>
              <c:numCache>
                <c:formatCode>_(* #,##0_);_(* \(#,##0\);_(* "-"??_);_(@_)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4684464"/>
        <c:axId val="-24867696"/>
        <c:axId val="0"/>
      </c:bar3DChart>
      <c:catAx>
        <c:axId val="-2468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867696"/>
        <c:crosses val="autoZero"/>
        <c:auto val="1"/>
        <c:lblAlgn val="ctr"/>
        <c:lblOffset val="100"/>
        <c:noMultiLvlLbl val="0"/>
      </c:catAx>
      <c:valAx>
        <c:axId val="-24867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684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0845807017750967"/>
          <c:y val="0.865523079248602"/>
          <c:w val="0.808723512259619"/>
          <c:h val="0.084873644721111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De-Institucionalizimi</a:t>
            </a:r>
            <a:r>
              <a:rPr lang="en-US" baseline="0"/>
              <a:t> </a:t>
            </a:r>
            <a:r>
              <a:rPr lang="en-US"/>
              <a:t>2020-2021</a:t>
            </a:r>
            <a:r>
              <a:rPr lang="en-US" baseline="0"/>
              <a:t> </a:t>
            </a:r>
          </a:p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(%</a:t>
            </a:r>
            <a:r>
              <a:rPr lang="en-US" baseline="0"/>
              <a:t> e burimeve të financimit në vite)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Grafik!$C$9</c:f>
              <c:strCache>
                <c:ptCount val="1"/>
                <c:pt idx="0">
                  <c:v>% e Buxhetit të shtetit vs Kosto indikative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Grafik!$B$10:$B$12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Grafik!$C$10:$C$12</c:f>
              <c:numCache>
                <c:formatCode>0.00%</c:formatCode>
                <c:ptCount val="3"/>
                <c:pt idx="0">
                  <c:v>0.408525729985842</c:v>
                </c:pt>
                <c:pt idx="1">
                  <c:v>0.508432821678984</c:v>
                </c:pt>
                <c:pt idx="2">
                  <c:v>0.675933822275286</c:v>
                </c:pt>
              </c:numCache>
            </c:numRef>
          </c:val>
        </c:ser>
        <c:ser>
          <c:idx val="1"/>
          <c:order val="1"/>
          <c:tx>
            <c:strRef>
              <c:f>Grafik!$D$9</c:f>
              <c:strCache>
                <c:ptCount val="1"/>
                <c:pt idx="0">
                  <c:v>% e  Financimi të huaj  vs Kosto indikative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Grafik!$B$10:$B$12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Grafik!$D$10:$D$12</c:f>
              <c:numCache>
                <c:formatCode>0.00%</c:formatCode>
                <c:ptCount val="3"/>
                <c:pt idx="0">
                  <c:v>0.597810392923728</c:v>
                </c:pt>
                <c:pt idx="1">
                  <c:v>0.491567178321016</c:v>
                </c:pt>
                <c:pt idx="2">
                  <c:v>0.324066177724714</c:v>
                </c:pt>
              </c:numCache>
            </c:numRef>
          </c:val>
        </c:ser>
        <c:ser>
          <c:idx val="2"/>
          <c:order val="2"/>
          <c:tx>
            <c:strRef>
              <c:f>Grafik!$E$9</c:f>
              <c:strCache>
                <c:ptCount val="1"/>
                <c:pt idx="0">
                  <c:v>% e  Hendeku Financiar  vs Kosto indikative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Grafik!$B$10:$B$12</c:f>
              <c:strCache>
                <c:ptCount val="3"/>
                <c:pt idx="0">
                  <c:v>VITI 2020</c:v>
                </c:pt>
                <c:pt idx="1">
                  <c:v>VITI 2021</c:v>
                </c:pt>
                <c:pt idx="2">
                  <c:v>VITI 2022</c:v>
                </c:pt>
              </c:strCache>
            </c:strRef>
          </c:cat>
          <c:val>
            <c:numRef>
              <c:f>Grafik!$E$10:$E$12</c:f>
              <c:numCache>
                <c:formatCode>0.00%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7024000"/>
        <c:axId val="67026480"/>
        <c:axId val="0"/>
      </c:bar3DChart>
      <c:catAx>
        <c:axId val="670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26480"/>
        <c:crosses val="autoZero"/>
        <c:auto val="1"/>
        <c:lblAlgn val="ctr"/>
        <c:lblOffset val="100"/>
        <c:noMultiLvlLbl val="0"/>
      </c:catAx>
      <c:valAx>
        <c:axId val="6702648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702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0692963779527559"/>
          <c:y val="0.811732352353595"/>
          <c:w val="0.842506946631671"/>
          <c:h val="0.16048993875765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1543050</xdr:colOff>
      <xdr:row>12</xdr:row>
      <xdr:rowOff>180975</xdr:rowOff>
    </xdr:from>
    <xdr:to>
      <xdr:col>16</xdr:col>
      <xdr:colOff>428625</xdr:colOff>
      <xdr:row>32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5</xdr:col>
      <xdr:colOff>1152525</xdr:colOff>
      <xdr:row>32</xdr:row>
      <xdr:rowOff>19050</xdr:rowOff>
    </xdr:to>
    <xdr:graphicFrame macro="">
      <xdr:nvGraphicFramePr>
        <xdr:cNvPr id="81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o&#235;nloads/Plani%20i%20Moshimit%20me%20buxhet%20final%2018.10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tika 2"/>
      <sheetName val="Politika 3"/>
    </sheetNames>
    <sheetDataSet>
      <sheetData sheetId="0" refreshError="1"/>
      <sheetData sheetId="1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98" Type="http://schemas.openxmlformats.org/officeDocument/2006/relationships/revisionLog" Target="revisionLog8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BB76E6-5D6C-6147-90B9-30AD64135BEB}" diskRevisions="1" revisionId="5335" version="2">
  <header guid="{0DBB76E6-5D6C-6147-90B9-30AD64135BEB}" dateTime="2020-05-25T23:41:43" maxSheetId="9" userName="Microsoft Office User" r:id="rId98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33B3830-A9CA-8D41-BC84-D742977C4300}" action="delete"/>
  <rdn rId="0" localSheetId="1" customView="1" name="Z_033B3830_A9CA_8D41_BC84_D742977C4300_.wvu.Cols" hidden="1" oldHidden="1">
    <formula>'Plani Kombetar i DeI 2020-2022'!$C:$F</formula>
    <oldFormula>'Plani Kombetar i DeI 2020-2022'!$C:$F</oldFormula>
  </rdn>
  <rcv guid="{033B3830-A9CA-8D41-BC84-D742977C430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printerSettings" Target="../printerSettings/printerSettings2.bin"/><Relationship Id="rId3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5.bin"/><Relationship Id="rId3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showGridLines="0" tabSelected="1" topLeftCell="A71" zoomScale="140" zoomScaleNormal="140" zoomScalePageLayoutView="150" workbookViewId="0">
      <selection activeCell="G81" sqref="G81"/>
    </sheetView>
  </sheetViews>
  <sheetFormatPr baseColWidth="10" defaultColWidth="9.1640625" defaultRowHeight="13" x14ac:dyDescent="0.15"/>
  <cols>
    <col min="1" max="1" width="7.83203125" style="92" customWidth="1"/>
    <col min="2" max="2" width="112.1640625" style="65" customWidth="1"/>
    <col min="3" max="3" width="15.5" style="133" hidden="1" customWidth="1"/>
    <col min="4" max="4" width="28" style="133" hidden="1" customWidth="1"/>
    <col min="5" max="5" width="11.83203125" style="65" hidden="1" customWidth="1"/>
    <col min="6" max="6" width="14.5" style="65" hidden="1" customWidth="1"/>
    <col min="7" max="7" width="32.1640625" style="65" customWidth="1"/>
    <col min="8" max="8" width="17.33203125" style="135" customWidth="1"/>
    <col min="9" max="9" width="16.5" style="135" customWidth="1"/>
    <col min="10" max="10" width="16.83203125" style="135" customWidth="1"/>
    <col min="11" max="11" width="12.6640625" style="135" customWidth="1"/>
    <col min="12" max="12" width="18" style="135" customWidth="1"/>
    <col min="13" max="13" width="20" style="135" customWidth="1"/>
    <col min="14" max="14" width="17.6640625" style="135" customWidth="1"/>
    <col min="15" max="15" width="15" style="135" customWidth="1"/>
    <col min="16" max="16" width="16.1640625" style="135" customWidth="1"/>
    <col min="17" max="17" width="18" style="135" customWidth="1"/>
    <col min="18" max="18" width="20" style="135" customWidth="1"/>
    <col min="19" max="19" width="17.6640625" style="135" customWidth="1"/>
    <col min="20" max="20" width="15" style="135" customWidth="1"/>
    <col min="21" max="21" width="16.1640625" style="135" customWidth="1"/>
    <col min="22" max="22" width="18" style="135" customWidth="1"/>
    <col min="23" max="23" width="20" style="135" customWidth="1"/>
    <col min="24" max="24" width="17.6640625" style="135" customWidth="1"/>
    <col min="25" max="25" width="15" style="135" customWidth="1"/>
    <col min="26" max="26" width="16.1640625" style="135" customWidth="1"/>
    <col min="27" max="16384" width="9.1640625" style="65"/>
  </cols>
  <sheetData>
    <row r="1" spans="1:49" ht="24" customHeight="1" x14ac:dyDescent="0.15">
      <c r="A1" s="58"/>
      <c r="B1" s="58" t="s">
        <v>3</v>
      </c>
      <c r="C1" s="126"/>
      <c r="D1" s="127"/>
      <c r="E1" s="59"/>
      <c r="F1" s="59"/>
      <c r="G1" s="59"/>
      <c r="H1" s="134"/>
      <c r="I1" s="134"/>
      <c r="J1" s="134"/>
      <c r="K1" s="134"/>
      <c r="L1" s="134"/>
      <c r="M1" s="134"/>
      <c r="N1" s="134"/>
      <c r="Q1" s="134"/>
      <c r="R1" s="134"/>
      <c r="S1" s="134"/>
      <c r="V1" s="134"/>
      <c r="W1" s="134"/>
      <c r="X1" s="134"/>
    </row>
    <row r="2" spans="1:49" ht="22.5" customHeight="1" x14ac:dyDescent="0.15">
      <c r="A2" s="364" t="s">
        <v>192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spans="1:49" ht="18.75" customHeight="1" x14ac:dyDescent="0.15">
      <c r="A3" s="364" t="s">
        <v>134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spans="1:49" ht="24" customHeight="1" x14ac:dyDescent="0.15">
      <c r="A4" s="364" t="s">
        <v>452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spans="1:49" ht="28.5" customHeight="1" thickBot="1" x14ac:dyDescent="0.2">
      <c r="A5" s="366" t="s">
        <v>135</v>
      </c>
      <c r="B5" s="367"/>
      <c r="C5" s="367"/>
      <c r="D5" s="367"/>
      <c r="E5" s="367"/>
      <c r="F5" s="367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</row>
    <row r="6" spans="1:49" ht="42.75" customHeight="1" x14ac:dyDescent="0.15">
      <c r="A6" s="375" t="s">
        <v>5</v>
      </c>
      <c r="B6" s="217"/>
      <c r="C6" s="353" t="s">
        <v>64</v>
      </c>
      <c r="D6" s="353"/>
      <c r="E6" s="353" t="s">
        <v>8</v>
      </c>
      <c r="F6" s="354"/>
      <c r="G6" s="362" t="s">
        <v>326</v>
      </c>
      <c r="H6" s="380" t="s">
        <v>321</v>
      </c>
      <c r="I6" s="378" t="s">
        <v>182</v>
      </c>
      <c r="J6" s="379"/>
      <c r="K6" s="355" t="s">
        <v>323</v>
      </c>
      <c r="L6" s="197" t="s">
        <v>65</v>
      </c>
      <c r="M6" s="373" t="s">
        <v>183</v>
      </c>
      <c r="N6" s="373"/>
      <c r="O6" s="373" t="s">
        <v>324</v>
      </c>
      <c r="P6" s="376" t="s">
        <v>323</v>
      </c>
      <c r="Q6" s="199" t="s">
        <v>65</v>
      </c>
      <c r="R6" s="369" t="s">
        <v>184</v>
      </c>
      <c r="S6" s="369"/>
      <c r="T6" s="369" t="s">
        <v>324</v>
      </c>
      <c r="U6" s="357" t="s">
        <v>323</v>
      </c>
      <c r="V6" s="201" t="s">
        <v>65</v>
      </c>
      <c r="W6" s="359" t="s">
        <v>185</v>
      </c>
      <c r="X6" s="359"/>
      <c r="Y6" s="359" t="s">
        <v>324</v>
      </c>
      <c r="Z6" s="371" t="s">
        <v>323</v>
      </c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</row>
    <row r="7" spans="1:49" ht="60" customHeight="1" x14ac:dyDescent="0.15">
      <c r="A7" s="375"/>
      <c r="B7" s="216"/>
      <c r="C7" s="13" t="s">
        <v>67</v>
      </c>
      <c r="D7" s="13" t="s">
        <v>68</v>
      </c>
      <c r="E7" s="43" t="s">
        <v>1</v>
      </c>
      <c r="F7" s="186" t="s">
        <v>2</v>
      </c>
      <c r="G7" s="363"/>
      <c r="H7" s="381"/>
      <c r="I7" s="143" t="s">
        <v>322</v>
      </c>
      <c r="J7" s="143" t="s">
        <v>324</v>
      </c>
      <c r="K7" s="356"/>
      <c r="L7" s="198"/>
      <c r="M7" s="177" t="s">
        <v>322</v>
      </c>
      <c r="N7" s="177" t="s">
        <v>325</v>
      </c>
      <c r="O7" s="374"/>
      <c r="P7" s="377"/>
      <c r="Q7" s="200"/>
      <c r="R7" s="183" t="s">
        <v>322</v>
      </c>
      <c r="S7" s="183" t="s">
        <v>325</v>
      </c>
      <c r="T7" s="370"/>
      <c r="U7" s="358"/>
      <c r="V7" s="202"/>
      <c r="W7" s="185" t="s">
        <v>322</v>
      </c>
      <c r="X7" s="185" t="s">
        <v>325</v>
      </c>
      <c r="Y7" s="360"/>
      <c r="Z7" s="372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</row>
    <row r="8" spans="1:49" s="94" customFormat="1" ht="41.25" customHeight="1" x14ac:dyDescent="0.15">
      <c r="A8" s="8"/>
      <c r="B8" s="57" t="s">
        <v>137</v>
      </c>
      <c r="C8" s="29" t="s">
        <v>7</v>
      </c>
      <c r="D8" s="29" t="s">
        <v>138</v>
      </c>
      <c r="E8" s="29"/>
      <c r="F8" s="187"/>
      <c r="G8" s="187"/>
      <c r="H8" s="73">
        <f t="shared" ref="H8:Z8" si="0">H9+H20+H39+H87+H109</f>
        <v>65864</v>
      </c>
      <c r="I8" s="73">
        <f t="shared" si="0"/>
        <v>31888</v>
      </c>
      <c r="J8" s="73">
        <f t="shared" si="0"/>
        <v>33976</v>
      </c>
      <c r="K8" s="73">
        <f t="shared" si="0"/>
        <v>0</v>
      </c>
      <c r="L8" s="225">
        <f t="shared" si="0"/>
        <v>35668.5</v>
      </c>
      <c r="M8" s="225">
        <f t="shared" si="0"/>
        <v>14571.5</v>
      </c>
      <c r="N8" s="225">
        <f t="shared" si="0"/>
        <v>0</v>
      </c>
      <c r="O8" s="225">
        <f t="shared" si="0"/>
        <v>21323</v>
      </c>
      <c r="P8" s="225">
        <f t="shared" si="0"/>
        <v>0</v>
      </c>
      <c r="Q8" s="224">
        <f t="shared" si="0"/>
        <v>18469.5</v>
      </c>
      <c r="R8" s="224">
        <f t="shared" si="0"/>
        <v>9390.5</v>
      </c>
      <c r="S8" s="224">
        <f t="shared" si="0"/>
        <v>0</v>
      </c>
      <c r="T8" s="224">
        <f t="shared" si="0"/>
        <v>9079</v>
      </c>
      <c r="U8" s="224">
        <f t="shared" si="0"/>
        <v>0</v>
      </c>
      <c r="V8" s="226">
        <f t="shared" si="0"/>
        <v>11726</v>
      </c>
      <c r="W8" s="226">
        <f t="shared" si="0"/>
        <v>7926</v>
      </c>
      <c r="X8" s="226">
        <f t="shared" si="0"/>
        <v>0</v>
      </c>
      <c r="Y8" s="226">
        <f t="shared" si="0"/>
        <v>3800</v>
      </c>
      <c r="Z8" s="226">
        <f t="shared" si="0"/>
        <v>0</v>
      </c>
      <c r="AA8" s="219"/>
      <c r="AB8" s="184"/>
      <c r="AC8" s="184"/>
      <c r="AD8" s="184"/>
      <c r="AE8" s="184"/>
      <c r="AF8" s="184"/>
      <c r="AG8" s="184"/>
      <c r="AH8" s="184"/>
      <c r="AI8" s="74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129"/>
      <c r="AV8" s="129"/>
      <c r="AW8" s="129"/>
    </row>
    <row r="9" spans="1:49" ht="39" customHeight="1" x14ac:dyDescent="0.15">
      <c r="A9" s="46">
        <v>1</v>
      </c>
      <c r="B9" s="47" t="str">
        <f>'Politika 1'!B10</f>
        <v>Harmonizimi i sistemit të integruar ligjor, adminisrativ dhe procedurial që siguron zbatimin e interesit më të lartë të fëmijës</v>
      </c>
      <c r="C9" s="48"/>
      <c r="D9" s="48"/>
      <c r="E9" s="48"/>
      <c r="F9" s="188"/>
      <c r="G9" s="352" t="s">
        <v>327</v>
      </c>
      <c r="H9" s="205">
        <f>H10+H15</f>
        <v>1790</v>
      </c>
      <c r="I9" s="205">
        <f t="shared" ref="I9:Z9" si="1">I10+I15</f>
        <v>407</v>
      </c>
      <c r="J9" s="205">
        <f t="shared" si="1"/>
        <v>1383</v>
      </c>
      <c r="K9" s="205">
        <f t="shared" si="1"/>
        <v>0</v>
      </c>
      <c r="L9" s="205">
        <f t="shared" si="1"/>
        <v>1790</v>
      </c>
      <c r="M9" s="205">
        <f t="shared" si="1"/>
        <v>407</v>
      </c>
      <c r="N9" s="205">
        <f t="shared" si="1"/>
        <v>0</v>
      </c>
      <c r="O9" s="205">
        <f t="shared" si="1"/>
        <v>1479</v>
      </c>
      <c r="P9" s="205">
        <f t="shared" si="1"/>
        <v>0</v>
      </c>
      <c r="Q9" s="205">
        <f t="shared" si="1"/>
        <v>0</v>
      </c>
      <c r="R9" s="205">
        <f t="shared" si="1"/>
        <v>0</v>
      </c>
      <c r="S9" s="205">
        <f t="shared" si="1"/>
        <v>0</v>
      </c>
      <c r="T9" s="205">
        <f t="shared" si="1"/>
        <v>0</v>
      </c>
      <c r="U9" s="205">
        <f t="shared" si="1"/>
        <v>0</v>
      </c>
      <c r="V9" s="205">
        <f t="shared" si="1"/>
        <v>0</v>
      </c>
      <c r="W9" s="205">
        <f t="shared" si="1"/>
        <v>0</v>
      </c>
      <c r="X9" s="205">
        <f t="shared" si="1"/>
        <v>0</v>
      </c>
      <c r="Y9" s="205">
        <f t="shared" si="1"/>
        <v>0</v>
      </c>
      <c r="Z9" s="205">
        <f t="shared" si="1"/>
        <v>0</v>
      </c>
      <c r="AA9" s="220"/>
    </row>
    <row r="10" spans="1:49" ht="42" customHeight="1" x14ac:dyDescent="0.15">
      <c r="A10" s="221"/>
      <c r="B10" s="162" t="s">
        <v>346</v>
      </c>
      <c r="C10" s="29" t="s">
        <v>84</v>
      </c>
      <c r="D10" s="13" t="s">
        <v>88</v>
      </c>
      <c r="E10" s="29" t="s">
        <v>9</v>
      </c>
      <c r="F10" s="189" t="s">
        <v>10</v>
      </c>
      <c r="G10" s="270" t="s">
        <v>456</v>
      </c>
      <c r="H10" s="206">
        <f>SUM(H11:H14)</f>
        <v>896</v>
      </c>
      <c r="I10" s="206">
        <f t="shared" ref="I10:Z10" si="2">SUM(I11:I14)</f>
        <v>311</v>
      </c>
      <c r="J10" s="206">
        <f t="shared" si="2"/>
        <v>585</v>
      </c>
      <c r="K10" s="206">
        <f t="shared" si="2"/>
        <v>0</v>
      </c>
      <c r="L10" s="206">
        <f t="shared" si="2"/>
        <v>896</v>
      </c>
      <c r="M10" s="206">
        <f t="shared" si="2"/>
        <v>311</v>
      </c>
      <c r="N10" s="206">
        <f t="shared" si="2"/>
        <v>0</v>
      </c>
      <c r="O10" s="206">
        <f t="shared" si="2"/>
        <v>585</v>
      </c>
      <c r="P10" s="206">
        <f t="shared" si="2"/>
        <v>0</v>
      </c>
      <c r="Q10" s="206">
        <f t="shared" si="2"/>
        <v>0</v>
      </c>
      <c r="R10" s="206">
        <f t="shared" si="2"/>
        <v>0</v>
      </c>
      <c r="S10" s="206">
        <f t="shared" si="2"/>
        <v>0</v>
      </c>
      <c r="T10" s="206">
        <f t="shared" si="2"/>
        <v>0</v>
      </c>
      <c r="U10" s="206">
        <f t="shared" si="2"/>
        <v>0</v>
      </c>
      <c r="V10" s="206">
        <f t="shared" si="2"/>
        <v>0</v>
      </c>
      <c r="W10" s="206">
        <f t="shared" si="2"/>
        <v>0</v>
      </c>
      <c r="X10" s="206">
        <f t="shared" si="2"/>
        <v>0</v>
      </c>
      <c r="Y10" s="206">
        <f t="shared" si="2"/>
        <v>0</v>
      </c>
      <c r="Z10" s="206">
        <f t="shared" si="2"/>
        <v>0</v>
      </c>
      <c r="AA10" s="220"/>
    </row>
    <row r="11" spans="1:49" ht="33" customHeight="1" x14ac:dyDescent="0.15">
      <c r="A11" s="14"/>
      <c r="B11" s="1" t="str">
        <f>'Politika 1'!B12</f>
        <v>a) Analizë/studim i kuadrit ligjor ekzitues/ evidentimi i ndryshimeve të nevojshme në legjislacion, duke përfshirë hartimin e udhëzimeve për profesionistët.</v>
      </c>
      <c r="C11" s="29" t="s">
        <v>84</v>
      </c>
      <c r="D11" s="13" t="s">
        <v>86</v>
      </c>
      <c r="E11" s="29" t="s">
        <v>9</v>
      </c>
      <c r="F11" s="189" t="s">
        <v>10</v>
      </c>
      <c r="G11" s="347"/>
      <c r="H11" s="208">
        <f>'Politika 1'!J12</f>
        <v>180</v>
      </c>
      <c r="I11" s="208">
        <f>'Politika 1'!K12</f>
        <v>0</v>
      </c>
      <c r="J11" s="208">
        <f>'Politika 1'!L12</f>
        <v>180</v>
      </c>
      <c r="K11" s="208">
        <f>'Politika 1'!M12</f>
        <v>0</v>
      </c>
      <c r="L11" s="203">
        <f>'Politika 1'!U12</f>
        <v>180</v>
      </c>
      <c r="M11" s="203">
        <f>'Politika 1'!V12</f>
        <v>0</v>
      </c>
      <c r="N11" s="203">
        <f>'Politika 1'!W12</f>
        <v>0</v>
      </c>
      <c r="O11" s="203">
        <f>'Politika 1'!X12</f>
        <v>180</v>
      </c>
      <c r="P11" s="203">
        <f>'Politika 1'!Y12</f>
        <v>0</v>
      </c>
      <c r="Q11" s="203">
        <f>'Politika 1'!AG12</f>
        <v>0</v>
      </c>
      <c r="R11" s="203">
        <f>'Politika 1'!AH12</f>
        <v>0</v>
      </c>
      <c r="S11" s="203">
        <f>'Politika 1'!AI12</f>
        <v>0</v>
      </c>
      <c r="T11" s="203">
        <f>'Politika 1'!AJ12</f>
        <v>0</v>
      </c>
      <c r="U11" s="203">
        <f>'Politika 1'!AK12</f>
        <v>0</v>
      </c>
      <c r="V11" s="203">
        <f>'Politika 1'!AL12</f>
        <v>0</v>
      </c>
      <c r="W11" s="203">
        <f>'Politika 1'!AM12</f>
        <v>0</v>
      </c>
      <c r="X11" s="203">
        <f>'Politika 1'!AN12</f>
        <v>0</v>
      </c>
      <c r="Y11" s="203">
        <f>'Politika 1'!AO12</f>
        <v>0</v>
      </c>
      <c r="Z11" s="203">
        <f>'Politika 1'!AP12</f>
        <v>0</v>
      </c>
      <c r="AA11" s="220"/>
    </row>
    <row r="12" spans="1:49" s="94" customFormat="1" ht="27" customHeight="1" x14ac:dyDescent="0.15">
      <c r="A12" s="14"/>
      <c r="B12" s="1" t="str">
        <f>'Politika 1'!B13</f>
        <v>b) Hartimi i ndryshimive ligjore, adminisrative dhe proceduriale bazuar në rekomandimet e studimit</v>
      </c>
      <c r="C12" s="29" t="s">
        <v>84</v>
      </c>
      <c r="D12" s="29" t="s">
        <v>86</v>
      </c>
      <c r="E12" s="29" t="s">
        <v>9</v>
      </c>
      <c r="F12" s="187" t="s">
        <v>10</v>
      </c>
      <c r="G12" s="187"/>
      <c r="H12" s="208">
        <f>'Politika 1'!J13</f>
        <v>180</v>
      </c>
      <c r="I12" s="208">
        <f>'Politika 1'!K13</f>
        <v>0</v>
      </c>
      <c r="J12" s="208">
        <f>'Politika 1'!L13</f>
        <v>180</v>
      </c>
      <c r="K12" s="208">
        <f>'Politika 1'!M13</f>
        <v>0</v>
      </c>
      <c r="L12" s="203">
        <f>'Politika 1'!U13</f>
        <v>180</v>
      </c>
      <c r="M12" s="203">
        <f>'Politika 1'!V13</f>
        <v>0</v>
      </c>
      <c r="N12" s="203">
        <f>'Politika 1'!W13</f>
        <v>0</v>
      </c>
      <c r="O12" s="203">
        <f>'Politika 1'!X13</f>
        <v>180</v>
      </c>
      <c r="P12" s="203">
        <f>'Politika 1'!Y13</f>
        <v>0</v>
      </c>
      <c r="Q12" s="203">
        <f>'Politika 1'!AG13</f>
        <v>0</v>
      </c>
      <c r="R12" s="203">
        <f>'Politika 1'!AH13</f>
        <v>0</v>
      </c>
      <c r="S12" s="203">
        <f>'Politika 1'!AI13</f>
        <v>0</v>
      </c>
      <c r="T12" s="203">
        <f>'Politika 1'!AJ13</f>
        <v>0</v>
      </c>
      <c r="U12" s="203">
        <f>'Politika 1'!AK13</f>
        <v>0</v>
      </c>
      <c r="V12" s="203">
        <f>'Politika 1'!AL13</f>
        <v>0</v>
      </c>
      <c r="W12" s="203">
        <f>'Politika 1'!AM13</f>
        <v>0</v>
      </c>
      <c r="X12" s="203">
        <f>'Politika 1'!AN13</f>
        <v>0</v>
      </c>
      <c r="Y12" s="203">
        <f>'Politika 1'!AO13</f>
        <v>0</v>
      </c>
      <c r="Z12" s="203">
        <f>'Politika 1'!AP13</f>
        <v>0</v>
      </c>
    </row>
    <row r="13" spans="1:49" s="94" customFormat="1" ht="27.75" customHeight="1" x14ac:dyDescent="0.15">
      <c r="A13" s="10"/>
      <c r="B13" s="1" t="str">
        <f>'Politika 1'!B14</f>
        <v xml:space="preserve">c) Konsultimi me ministritë e linjës, agjensitë zbatuese dhe grupet e interesit i draft ndryshimeve  ligjore të propozuara. </v>
      </c>
      <c r="C13" s="29" t="s">
        <v>84</v>
      </c>
      <c r="D13" s="29" t="s">
        <v>86</v>
      </c>
      <c r="E13" s="29" t="s">
        <v>9</v>
      </c>
      <c r="F13" s="187" t="s">
        <v>10</v>
      </c>
      <c r="G13" s="187"/>
      <c r="H13" s="208">
        <f>'Politika 1'!J14</f>
        <v>341</v>
      </c>
      <c r="I13" s="208">
        <f>'Politika 1'!K14</f>
        <v>311</v>
      </c>
      <c r="J13" s="208">
        <f>'Politika 1'!L14</f>
        <v>30</v>
      </c>
      <c r="K13" s="208">
        <f>'Politika 1'!M14</f>
        <v>0</v>
      </c>
      <c r="L13" s="203">
        <f>'Politika 1'!U14</f>
        <v>341</v>
      </c>
      <c r="M13" s="203">
        <f>'Politika 1'!V14</f>
        <v>311</v>
      </c>
      <c r="N13" s="203">
        <f>'Politika 1'!W14</f>
        <v>0</v>
      </c>
      <c r="O13" s="203">
        <f>'Politika 1'!X14</f>
        <v>30</v>
      </c>
      <c r="P13" s="203">
        <f>'Politika 1'!Y14</f>
        <v>0</v>
      </c>
      <c r="Q13" s="203">
        <f>'Politika 1'!AG14</f>
        <v>0</v>
      </c>
      <c r="R13" s="203">
        <f>'Politika 1'!AH14</f>
        <v>0</v>
      </c>
      <c r="S13" s="203">
        <f>'Politika 1'!AI14</f>
        <v>0</v>
      </c>
      <c r="T13" s="203">
        <f>'Politika 1'!AJ14</f>
        <v>0</v>
      </c>
      <c r="U13" s="203">
        <f>'Politika 1'!AK14</f>
        <v>0</v>
      </c>
      <c r="V13" s="203">
        <f>'Politika 1'!AL14</f>
        <v>0</v>
      </c>
      <c r="W13" s="203">
        <f>'Politika 1'!AM14</f>
        <v>0</v>
      </c>
      <c r="X13" s="203">
        <f>'Politika 1'!AN14</f>
        <v>0</v>
      </c>
      <c r="Y13" s="203">
        <f>'Politika 1'!AO14</f>
        <v>0</v>
      </c>
      <c r="Z13" s="203">
        <f>'Politika 1'!AP14</f>
        <v>0</v>
      </c>
    </row>
    <row r="14" spans="1:49" s="2" customFormat="1" ht="25.5" customHeight="1" x14ac:dyDescent="0.2">
      <c r="A14" s="10"/>
      <c r="B14" s="1" t="str">
        <f>'Politika 1'!B15</f>
        <v xml:space="preserve">d) Hartimi i akteve nënligjore/moduleve dhe udhëzuesve sipas reformës së shërbimeve shoqërore për fëmijë       </v>
      </c>
      <c r="C14" s="21"/>
      <c r="D14" s="29"/>
      <c r="E14" s="29"/>
      <c r="F14" s="187"/>
      <c r="G14" s="187"/>
      <c r="H14" s="208">
        <f>'Politika 1'!J15</f>
        <v>195</v>
      </c>
      <c r="I14" s="208">
        <f>'Politika 1'!K15</f>
        <v>0</v>
      </c>
      <c r="J14" s="208">
        <f>'Politika 1'!L15</f>
        <v>195</v>
      </c>
      <c r="K14" s="208">
        <f>'Politika 1'!M15</f>
        <v>0</v>
      </c>
      <c r="L14" s="203">
        <f>'Politika 1'!U15</f>
        <v>195</v>
      </c>
      <c r="M14" s="203">
        <f>'Politika 1'!V15</f>
        <v>0</v>
      </c>
      <c r="N14" s="203">
        <f>'Politika 1'!W15</f>
        <v>0</v>
      </c>
      <c r="O14" s="203">
        <f>'Politika 1'!X15</f>
        <v>195</v>
      </c>
      <c r="P14" s="203">
        <f>'Politika 1'!Y15</f>
        <v>0</v>
      </c>
      <c r="Q14" s="203">
        <f>'Politika 1'!AG15</f>
        <v>0</v>
      </c>
      <c r="R14" s="203">
        <f>'Politika 1'!AH15</f>
        <v>0</v>
      </c>
      <c r="S14" s="203">
        <f>'Politika 1'!AI15</f>
        <v>0</v>
      </c>
      <c r="T14" s="203">
        <f>'Politika 1'!AJ15</f>
        <v>0</v>
      </c>
      <c r="U14" s="203">
        <f>'Politika 1'!AK15</f>
        <v>0</v>
      </c>
      <c r="V14" s="203">
        <f>'Politika 1'!AL15</f>
        <v>0</v>
      </c>
      <c r="W14" s="203">
        <f>'Politika 1'!AM15</f>
        <v>0</v>
      </c>
      <c r="X14" s="203">
        <f>'Politika 1'!AN15</f>
        <v>0</v>
      </c>
      <c r="Y14" s="203">
        <f>'Politika 1'!AO15</f>
        <v>0</v>
      </c>
      <c r="Z14" s="203">
        <f>'Politika 1'!AP15</f>
        <v>0</v>
      </c>
    </row>
    <row r="15" spans="1:49" s="4" customFormat="1" ht="34.5" customHeight="1" x14ac:dyDescent="0.2">
      <c r="A15" s="163"/>
      <c r="B15" s="162" t="s">
        <v>449</v>
      </c>
      <c r="C15" s="29" t="s">
        <v>84</v>
      </c>
      <c r="D15" s="29" t="s">
        <v>90</v>
      </c>
      <c r="E15" s="29" t="s">
        <v>9</v>
      </c>
      <c r="F15" s="187" t="s">
        <v>10</v>
      </c>
      <c r="G15" s="260"/>
      <c r="H15" s="207">
        <f>SUM(H16:H19)</f>
        <v>894</v>
      </c>
      <c r="I15" s="207">
        <f t="shared" ref="I15:Z15" si="3">SUM(I16:I19)</f>
        <v>96</v>
      </c>
      <c r="J15" s="207">
        <f t="shared" si="3"/>
        <v>798</v>
      </c>
      <c r="K15" s="207">
        <f t="shared" si="3"/>
        <v>0</v>
      </c>
      <c r="L15" s="207">
        <f t="shared" si="3"/>
        <v>894</v>
      </c>
      <c r="M15" s="207">
        <f t="shared" si="3"/>
        <v>96</v>
      </c>
      <c r="N15" s="207">
        <f t="shared" si="3"/>
        <v>0</v>
      </c>
      <c r="O15" s="207">
        <f t="shared" si="3"/>
        <v>894</v>
      </c>
      <c r="P15" s="207">
        <f t="shared" si="3"/>
        <v>0</v>
      </c>
      <c r="Q15" s="207">
        <f t="shared" si="3"/>
        <v>0</v>
      </c>
      <c r="R15" s="207">
        <f t="shared" si="3"/>
        <v>0</v>
      </c>
      <c r="S15" s="207">
        <f t="shared" si="3"/>
        <v>0</v>
      </c>
      <c r="T15" s="207">
        <f t="shared" si="3"/>
        <v>0</v>
      </c>
      <c r="U15" s="207">
        <f t="shared" si="3"/>
        <v>0</v>
      </c>
      <c r="V15" s="207">
        <f t="shared" si="3"/>
        <v>0</v>
      </c>
      <c r="W15" s="207">
        <f t="shared" si="3"/>
        <v>0</v>
      </c>
      <c r="X15" s="207">
        <f t="shared" si="3"/>
        <v>0</v>
      </c>
      <c r="Y15" s="207">
        <f t="shared" si="3"/>
        <v>0</v>
      </c>
      <c r="Z15" s="207">
        <f t="shared" si="3"/>
        <v>0</v>
      </c>
    </row>
    <row r="16" spans="1:49" s="2" customFormat="1" ht="28.5" customHeight="1" x14ac:dyDescent="0.2">
      <c r="A16" s="10"/>
      <c r="B16" s="1" t="str">
        <f>'Politika 1'!B17</f>
        <v xml:space="preserve">a) Hartimi dhe Kostimi i paketës minimale të shërbimeve komunitare për nënën dhe familjen në bashki. </v>
      </c>
      <c r="C16" s="29" t="s">
        <v>84</v>
      </c>
      <c r="D16" s="29" t="s">
        <v>88</v>
      </c>
      <c r="E16" s="29" t="s">
        <v>9</v>
      </c>
      <c r="F16" s="187" t="s">
        <v>10</v>
      </c>
      <c r="G16" s="187"/>
      <c r="H16" s="208">
        <f>'Politika 1'!J17</f>
        <v>390</v>
      </c>
      <c r="I16" s="208">
        <f>'Politika 1'!K17</f>
        <v>0</v>
      </c>
      <c r="J16" s="208">
        <f>'Politika 1'!L17</f>
        <v>390</v>
      </c>
      <c r="K16" s="208">
        <f>'Politika 1'!M17</f>
        <v>0</v>
      </c>
      <c r="L16" s="215">
        <f>'Politika 1'!U17</f>
        <v>390</v>
      </c>
      <c r="M16" s="215">
        <f>'Politika 1'!V17</f>
        <v>0</v>
      </c>
      <c r="N16" s="215">
        <f>'Politika 1'!W17</f>
        <v>0</v>
      </c>
      <c r="O16" s="215">
        <f>'Politika 1'!X17</f>
        <v>390</v>
      </c>
      <c r="P16" s="215">
        <f>'Politika 1'!Y17</f>
        <v>0</v>
      </c>
      <c r="Q16" s="215">
        <f>'Politika 1'!AG17</f>
        <v>0</v>
      </c>
      <c r="R16" s="215">
        <f>'Politika 1'!AH17</f>
        <v>0</v>
      </c>
      <c r="S16" s="215">
        <f>'Politika 1'!AI17</f>
        <v>0</v>
      </c>
      <c r="T16" s="215">
        <f>'Politika 1'!AJ17</f>
        <v>0</v>
      </c>
      <c r="U16" s="215">
        <f>'Politika 1'!AK17</f>
        <v>0</v>
      </c>
      <c r="V16" s="215">
        <f>'Politika 1'!AS17</f>
        <v>0</v>
      </c>
      <c r="W16" s="215">
        <f>'Politika 1'!AT17</f>
        <v>0</v>
      </c>
      <c r="X16" s="215">
        <f>'Politika 1'!AU17</f>
        <v>0</v>
      </c>
      <c r="Y16" s="215">
        <f>'Politika 1'!AV17</f>
        <v>0</v>
      </c>
      <c r="Z16" s="215">
        <f>'Politika 1'!AW17</f>
        <v>0</v>
      </c>
    </row>
    <row r="17" spans="1:26" s="2" customFormat="1" ht="27.75" customHeight="1" x14ac:dyDescent="0.2">
      <c r="A17" s="10"/>
      <c r="B17" s="1" t="str">
        <f>'Politika 1'!B18</f>
        <v>b) Hartimi dhe kostimi i modeleve të reja të shërbimit sipas  reformës së shërbimeve shoqërore për fëmijë</v>
      </c>
      <c r="C17" s="29" t="s">
        <v>84</v>
      </c>
      <c r="D17" s="29" t="s">
        <v>91</v>
      </c>
      <c r="E17" s="29" t="s">
        <v>9</v>
      </c>
      <c r="F17" s="187" t="s">
        <v>10</v>
      </c>
      <c r="G17" s="187"/>
      <c r="H17" s="208">
        <f>'Politika 1'!J18</f>
        <v>264</v>
      </c>
      <c r="I17" s="208">
        <f>'Politika 1'!K18</f>
        <v>96</v>
      </c>
      <c r="J17" s="208">
        <f>'Politika 1'!L18</f>
        <v>168</v>
      </c>
      <c r="K17" s="208">
        <f>'Politika 1'!M18</f>
        <v>0</v>
      </c>
      <c r="L17" s="215">
        <f>'Politika 1'!U18</f>
        <v>264</v>
      </c>
      <c r="M17" s="215">
        <f>'Politika 1'!V18</f>
        <v>96</v>
      </c>
      <c r="N17" s="215">
        <f>'Politika 1'!W18</f>
        <v>0</v>
      </c>
      <c r="O17" s="215">
        <f>'Politika 1'!X18</f>
        <v>264</v>
      </c>
      <c r="P17" s="215">
        <f>'Politika 1'!Y18</f>
        <v>0</v>
      </c>
      <c r="Q17" s="215">
        <f>'Politika 1'!AG18</f>
        <v>0</v>
      </c>
      <c r="R17" s="215">
        <f>'Politika 1'!AH18</f>
        <v>0</v>
      </c>
      <c r="S17" s="215">
        <f>'Politika 1'!AI18</f>
        <v>0</v>
      </c>
      <c r="T17" s="215">
        <f>'Politika 1'!AJ18</f>
        <v>0</v>
      </c>
      <c r="U17" s="215">
        <f>'Politika 1'!AK18</f>
        <v>0</v>
      </c>
      <c r="V17" s="215">
        <f>'Politika 1'!AS18</f>
        <v>0</v>
      </c>
      <c r="W17" s="215">
        <f>'Politika 1'!AT18</f>
        <v>0</v>
      </c>
      <c r="X17" s="215">
        <f>'Politika 1'!AU18</f>
        <v>0</v>
      </c>
      <c r="Y17" s="215">
        <f>'Politika 1'!AV18</f>
        <v>0</v>
      </c>
      <c r="Z17" s="215">
        <f>'Politika 1'!AW18</f>
        <v>0</v>
      </c>
    </row>
    <row r="18" spans="1:26" s="4" customFormat="1" ht="27" customHeight="1" x14ac:dyDescent="0.2">
      <c r="A18" s="10"/>
      <c r="B18" s="1" t="str">
        <f>'Politika 1'!B19</f>
        <v xml:space="preserve">c)Hartimi dhe kostimi i progrmit të ribashkimit të fëmijës me familjen </v>
      </c>
      <c r="C18" s="29" t="s">
        <v>84</v>
      </c>
      <c r="D18" s="29" t="s">
        <v>139</v>
      </c>
      <c r="E18" s="29" t="s">
        <v>9</v>
      </c>
      <c r="F18" s="187" t="s">
        <v>103</v>
      </c>
      <c r="G18" s="187"/>
      <c r="H18" s="208">
        <f>'Politika 1'!J19</f>
        <v>120</v>
      </c>
      <c r="I18" s="208">
        <f>'Politika 1'!K19</f>
        <v>0</v>
      </c>
      <c r="J18" s="208">
        <f>'Politika 1'!L19</f>
        <v>120</v>
      </c>
      <c r="K18" s="208">
        <f>'Politika 1'!M19</f>
        <v>0</v>
      </c>
      <c r="L18" s="215">
        <f>'Politika 1'!U19</f>
        <v>120</v>
      </c>
      <c r="M18" s="215">
        <f>'Politika 1'!V19</f>
        <v>0</v>
      </c>
      <c r="N18" s="215">
        <f>'Politika 1'!W19</f>
        <v>0</v>
      </c>
      <c r="O18" s="215">
        <f>'Politika 1'!X19</f>
        <v>120</v>
      </c>
      <c r="P18" s="215">
        <f>'Politika 1'!Y19</f>
        <v>0</v>
      </c>
      <c r="Q18" s="215">
        <f>'Politika 1'!AG19</f>
        <v>0</v>
      </c>
      <c r="R18" s="215">
        <f>'Politika 1'!AH19</f>
        <v>0</v>
      </c>
      <c r="S18" s="215">
        <f>'Politika 1'!AI19</f>
        <v>0</v>
      </c>
      <c r="T18" s="215">
        <f>'Politika 1'!AJ19</f>
        <v>0</v>
      </c>
      <c r="U18" s="215">
        <f>'Politika 1'!AK19</f>
        <v>0</v>
      </c>
      <c r="V18" s="215">
        <f>'Politika 1'!AS19</f>
        <v>0</v>
      </c>
      <c r="W18" s="215">
        <f>'Politika 1'!AT19</f>
        <v>0</v>
      </c>
      <c r="X18" s="215">
        <f>'Politika 1'!AU19</f>
        <v>0</v>
      </c>
      <c r="Y18" s="215">
        <f>'Politika 1'!AV19</f>
        <v>0</v>
      </c>
      <c r="Z18" s="215">
        <f>'Politika 1'!AW19</f>
        <v>0</v>
      </c>
    </row>
    <row r="19" spans="1:26" s="2" customFormat="1" ht="27.75" customHeight="1" x14ac:dyDescent="0.2">
      <c r="A19" s="10"/>
      <c r="B19" s="1" t="str">
        <f>'Politika 1'!B20</f>
        <v xml:space="preserve">d) Hartimi i udhëzuesit për bashkitë për të planifikuar  dhe aplikuar nw kuadwr tw Fondit Social për ngritjn e shërbimeve që synojnë  ribashkimin e fëmijës </v>
      </c>
      <c r="C19" s="29" t="s">
        <v>84</v>
      </c>
      <c r="D19" s="29" t="s">
        <v>88</v>
      </c>
      <c r="E19" s="29" t="s">
        <v>9</v>
      </c>
      <c r="F19" s="187" t="s">
        <v>10</v>
      </c>
      <c r="G19" s="187"/>
      <c r="H19" s="208">
        <f>'Politika 1'!J20</f>
        <v>120</v>
      </c>
      <c r="I19" s="208">
        <f>'Politika 1'!K20</f>
        <v>0</v>
      </c>
      <c r="J19" s="208">
        <f>'Politika 1'!L20</f>
        <v>120</v>
      </c>
      <c r="K19" s="208">
        <f>'Politika 1'!M20</f>
        <v>0</v>
      </c>
      <c r="L19" s="215">
        <f>'Politika 1'!U20</f>
        <v>120</v>
      </c>
      <c r="M19" s="215">
        <f>'Politika 1'!V20</f>
        <v>0</v>
      </c>
      <c r="N19" s="215">
        <f>'Politika 1'!W20</f>
        <v>0</v>
      </c>
      <c r="O19" s="215">
        <f>'Politika 1'!X20</f>
        <v>120</v>
      </c>
      <c r="P19" s="215">
        <f>'Politika 1'!Y20</f>
        <v>0</v>
      </c>
      <c r="Q19" s="215">
        <f>'Politika 1'!AG20</f>
        <v>0</v>
      </c>
      <c r="R19" s="215">
        <f>'Politika 1'!AH20</f>
        <v>0</v>
      </c>
      <c r="S19" s="215">
        <f>'Politika 1'!AI20</f>
        <v>0</v>
      </c>
      <c r="T19" s="215">
        <f>'Politika 1'!AJ20</f>
        <v>0</v>
      </c>
      <c r="U19" s="215">
        <f>'Politika 1'!AK20</f>
        <v>0</v>
      </c>
      <c r="V19" s="215">
        <f>'Politika 1'!AS20</f>
        <v>0</v>
      </c>
      <c r="W19" s="215">
        <f>'Politika 1'!AT20</f>
        <v>0</v>
      </c>
      <c r="X19" s="215">
        <f>'Politika 1'!AU20</f>
        <v>0</v>
      </c>
      <c r="Y19" s="215">
        <f>'Politika 1'!AV20</f>
        <v>0</v>
      </c>
      <c r="Z19" s="215">
        <f>'Politika 1'!AW20</f>
        <v>0</v>
      </c>
    </row>
    <row r="20" spans="1:26" ht="39.75" customHeight="1" x14ac:dyDescent="0.15">
      <c r="A20" s="166">
        <v>2</v>
      </c>
      <c r="B20" s="46" t="s">
        <v>141</v>
      </c>
      <c r="C20" s="48"/>
      <c r="D20" s="48"/>
      <c r="E20" s="48"/>
      <c r="F20" s="188"/>
      <c r="G20" s="352" t="s">
        <v>455</v>
      </c>
      <c r="H20" s="223">
        <f>H21+H24+H30</f>
        <v>5519</v>
      </c>
      <c r="I20" s="223">
        <f t="shared" ref="I20:Z20" si="4">I21+I24+I30</f>
        <v>1659</v>
      </c>
      <c r="J20" s="223">
        <f t="shared" si="4"/>
        <v>3860</v>
      </c>
      <c r="K20" s="223">
        <f t="shared" si="4"/>
        <v>0</v>
      </c>
      <c r="L20" s="223">
        <f t="shared" si="4"/>
        <v>4821.5</v>
      </c>
      <c r="M20" s="223">
        <f t="shared" si="4"/>
        <v>1423.5</v>
      </c>
      <c r="N20" s="223">
        <f t="shared" si="4"/>
        <v>0</v>
      </c>
      <c r="O20" s="223">
        <f t="shared" si="4"/>
        <v>3398</v>
      </c>
      <c r="P20" s="223">
        <f t="shared" si="4"/>
        <v>0</v>
      </c>
      <c r="Q20" s="223">
        <f t="shared" si="4"/>
        <v>697.5</v>
      </c>
      <c r="R20" s="223">
        <f t="shared" si="4"/>
        <v>235.5</v>
      </c>
      <c r="S20" s="223">
        <f t="shared" si="4"/>
        <v>0</v>
      </c>
      <c r="T20" s="223">
        <f t="shared" si="4"/>
        <v>462</v>
      </c>
      <c r="U20" s="223">
        <f t="shared" si="4"/>
        <v>0</v>
      </c>
      <c r="V20" s="223">
        <f t="shared" si="4"/>
        <v>0</v>
      </c>
      <c r="W20" s="223">
        <f t="shared" si="4"/>
        <v>0</v>
      </c>
      <c r="X20" s="223">
        <f t="shared" si="4"/>
        <v>0</v>
      </c>
      <c r="Y20" s="223">
        <f t="shared" si="4"/>
        <v>0</v>
      </c>
      <c r="Z20" s="223">
        <f t="shared" si="4"/>
        <v>0</v>
      </c>
    </row>
    <row r="21" spans="1:26" s="2" customFormat="1" ht="29.25" customHeight="1" x14ac:dyDescent="0.2">
      <c r="A21" s="211"/>
      <c r="B21" s="163" t="s">
        <v>348</v>
      </c>
      <c r="C21" s="29"/>
      <c r="D21" s="29"/>
      <c r="E21" s="29"/>
      <c r="F21" s="187"/>
      <c r="G21" s="260"/>
      <c r="H21" s="211">
        <f>SUM(H22:H23)</f>
        <v>96</v>
      </c>
      <c r="I21" s="211">
        <f t="shared" ref="I21:Z21" si="5">SUM(I22:I23)</f>
        <v>96</v>
      </c>
      <c r="J21" s="211">
        <f t="shared" si="5"/>
        <v>0</v>
      </c>
      <c r="K21" s="211">
        <f t="shared" si="5"/>
        <v>0</v>
      </c>
      <c r="L21" s="211">
        <f t="shared" si="5"/>
        <v>96</v>
      </c>
      <c r="M21" s="211">
        <f t="shared" si="5"/>
        <v>96</v>
      </c>
      <c r="N21" s="211">
        <f t="shared" si="5"/>
        <v>0</v>
      </c>
      <c r="O21" s="211">
        <f t="shared" si="5"/>
        <v>0</v>
      </c>
      <c r="P21" s="211">
        <f t="shared" si="5"/>
        <v>0</v>
      </c>
      <c r="Q21" s="211">
        <f t="shared" si="5"/>
        <v>0</v>
      </c>
      <c r="R21" s="211">
        <f t="shared" si="5"/>
        <v>0</v>
      </c>
      <c r="S21" s="211">
        <f t="shared" si="5"/>
        <v>0</v>
      </c>
      <c r="T21" s="211">
        <f t="shared" si="5"/>
        <v>0</v>
      </c>
      <c r="U21" s="211">
        <f t="shared" si="5"/>
        <v>0</v>
      </c>
      <c r="V21" s="211">
        <f t="shared" si="5"/>
        <v>0</v>
      </c>
      <c r="W21" s="211">
        <f t="shared" si="5"/>
        <v>0</v>
      </c>
      <c r="X21" s="211">
        <f t="shared" si="5"/>
        <v>0</v>
      </c>
      <c r="Y21" s="211">
        <f t="shared" si="5"/>
        <v>0</v>
      </c>
      <c r="Z21" s="211">
        <f t="shared" si="5"/>
        <v>0</v>
      </c>
    </row>
    <row r="22" spans="1:26" s="2" customFormat="1" ht="28.5" customHeight="1" x14ac:dyDescent="0.2">
      <c r="A22" s="8"/>
      <c r="B22" s="6" t="s">
        <v>83</v>
      </c>
      <c r="C22" s="29" t="s">
        <v>7</v>
      </c>
      <c r="D22" s="29" t="s">
        <v>70</v>
      </c>
      <c r="E22" s="29" t="s">
        <v>14</v>
      </c>
      <c r="F22" s="187" t="s">
        <v>71</v>
      </c>
      <c r="G22" s="348"/>
      <c r="H22" s="209">
        <f>'Politika 2'!J12</f>
        <v>48</v>
      </c>
      <c r="I22" s="209">
        <f>'Politika 2'!K12</f>
        <v>48</v>
      </c>
      <c r="J22" s="209">
        <f>'Politika 2'!L12</f>
        <v>0</v>
      </c>
      <c r="K22" s="209">
        <f>'Politika 2'!M12</f>
        <v>0</v>
      </c>
      <c r="L22" s="203">
        <f>'Politika 2'!U12</f>
        <v>48</v>
      </c>
      <c r="M22" s="203">
        <f>'Politika 2'!V12</f>
        <v>48</v>
      </c>
      <c r="N22" s="203">
        <f>'Politika 2'!W12</f>
        <v>0</v>
      </c>
      <c r="O22" s="203">
        <f>'Politika 2'!X12</f>
        <v>0</v>
      </c>
      <c r="P22" s="203">
        <f>'Politika 2'!Y12</f>
        <v>0</v>
      </c>
      <c r="Q22" s="204">
        <f>'Politika 2'!AG12</f>
        <v>0</v>
      </c>
      <c r="R22" s="204">
        <f>'Politika 2'!AH12</f>
        <v>0</v>
      </c>
      <c r="S22" s="204">
        <f>'Politika 2'!AI12</f>
        <v>0</v>
      </c>
      <c r="T22" s="204">
        <f>'Politika 2'!AJ12</f>
        <v>0</v>
      </c>
      <c r="U22" s="204">
        <f>'Politika 2'!AK12</f>
        <v>0</v>
      </c>
      <c r="V22" s="203">
        <f>'Politika 2'!AS12</f>
        <v>0</v>
      </c>
      <c r="W22" s="203">
        <f>'Politika 2'!AT12</f>
        <v>0</v>
      </c>
      <c r="X22" s="203">
        <f>'Politika 2'!AU12</f>
        <v>0</v>
      </c>
      <c r="Y22" s="203">
        <f>'Politika 2'!AV12</f>
        <v>0</v>
      </c>
      <c r="Z22" s="203">
        <f>'Politika 2'!AW12</f>
        <v>0</v>
      </c>
    </row>
    <row r="23" spans="1:26" s="2" customFormat="1" ht="27.75" customHeight="1" x14ac:dyDescent="0.2">
      <c r="A23" s="8"/>
      <c r="B23" s="7" t="s">
        <v>154</v>
      </c>
      <c r="C23" s="29" t="s">
        <v>84</v>
      </c>
      <c r="D23" s="13" t="s">
        <v>91</v>
      </c>
      <c r="E23" s="29" t="s">
        <v>9</v>
      </c>
      <c r="F23" s="187" t="s">
        <v>71</v>
      </c>
      <c r="G23" s="187"/>
      <c r="H23" s="209">
        <f>'Politika 2'!J13</f>
        <v>48</v>
      </c>
      <c r="I23" s="209">
        <f>'Politika 2'!K13</f>
        <v>48</v>
      </c>
      <c r="J23" s="209">
        <f>'Politika 2'!L13</f>
        <v>0</v>
      </c>
      <c r="K23" s="209">
        <f>'Politika 2'!M13</f>
        <v>0</v>
      </c>
      <c r="L23" s="203">
        <f>'Politika 2'!U13</f>
        <v>48</v>
      </c>
      <c r="M23" s="203">
        <f>'Politika 2'!V13</f>
        <v>48</v>
      </c>
      <c r="N23" s="203">
        <f>'Politika 2'!W13</f>
        <v>0</v>
      </c>
      <c r="O23" s="203">
        <f>'Politika 2'!X13</f>
        <v>0</v>
      </c>
      <c r="P23" s="203">
        <f>'Politika 2'!Y13</f>
        <v>0</v>
      </c>
      <c r="Q23" s="204">
        <f>'Politika 2'!AG13</f>
        <v>0</v>
      </c>
      <c r="R23" s="204">
        <f>'Politika 2'!AH13</f>
        <v>0</v>
      </c>
      <c r="S23" s="204">
        <f>'Politika 2'!AI13</f>
        <v>0</v>
      </c>
      <c r="T23" s="204">
        <f>'Politika 2'!AJ13</f>
        <v>0</v>
      </c>
      <c r="U23" s="204">
        <f>'Politika 2'!AK13</f>
        <v>0</v>
      </c>
      <c r="V23" s="203">
        <f>'Politika 2'!AS13</f>
        <v>0</v>
      </c>
      <c r="W23" s="203">
        <f>'Politika 2'!AT13</f>
        <v>0</v>
      </c>
      <c r="X23" s="203">
        <f>'Politika 2'!AU13</f>
        <v>0</v>
      </c>
      <c r="Y23" s="203">
        <f>'Politika 2'!AV13</f>
        <v>0</v>
      </c>
      <c r="Z23" s="203">
        <f>'Politika 2'!AW13</f>
        <v>0</v>
      </c>
    </row>
    <row r="24" spans="1:26" s="2" customFormat="1" ht="38.25" customHeight="1" x14ac:dyDescent="0.2">
      <c r="A24" s="145"/>
      <c r="B24" s="162" t="s">
        <v>350</v>
      </c>
      <c r="C24" s="29"/>
      <c r="D24" s="29"/>
      <c r="E24" s="29"/>
      <c r="F24" s="187"/>
      <c r="G24" s="270" t="s">
        <v>456</v>
      </c>
      <c r="H24" s="206">
        <f>SUM(H25:H29)</f>
        <v>976</v>
      </c>
      <c r="I24" s="206">
        <f t="shared" ref="I24:K24" si="6">SUM(I25:I29)</f>
        <v>311</v>
      </c>
      <c r="J24" s="206">
        <f t="shared" si="6"/>
        <v>665</v>
      </c>
      <c r="K24" s="206">
        <f t="shared" si="6"/>
        <v>0</v>
      </c>
      <c r="L24" s="206">
        <f t="shared" ref="L24" si="7">SUM(L25:L29)</f>
        <v>700.5</v>
      </c>
      <c r="M24" s="206">
        <f t="shared" ref="M24" si="8">SUM(M25:M29)</f>
        <v>155.5</v>
      </c>
      <c r="N24" s="206">
        <f t="shared" ref="N24" si="9">SUM(N25:N29)</f>
        <v>0</v>
      </c>
      <c r="O24" s="206">
        <f t="shared" ref="O24" si="10">SUM(O25:O29)</f>
        <v>545</v>
      </c>
      <c r="P24" s="206">
        <f t="shared" ref="P24" si="11">SUM(P25:P29)</f>
        <v>0</v>
      </c>
      <c r="Q24" s="206">
        <f t="shared" ref="Q24" si="12">SUM(Q25:Q29)</f>
        <v>275.5</v>
      </c>
      <c r="R24" s="206">
        <f t="shared" ref="R24" si="13">SUM(R25:R29)</f>
        <v>155.5</v>
      </c>
      <c r="S24" s="206">
        <f t="shared" ref="S24" si="14">SUM(S25:S29)</f>
        <v>0</v>
      </c>
      <c r="T24" s="206">
        <f t="shared" ref="T24" si="15">SUM(T25:T29)</f>
        <v>120</v>
      </c>
      <c r="U24" s="206">
        <f t="shared" ref="U24" si="16">SUM(U25:U29)</f>
        <v>0</v>
      </c>
      <c r="V24" s="206">
        <f t="shared" ref="V24:W24" si="17">SUM(V25:V29)</f>
        <v>0</v>
      </c>
      <c r="W24" s="206">
        <f t="shared" si="17"/>
        <v>0</v>
      </c>
      <c r="X24" s="206">
        <f t="shared" ref="X24" si="18">SUM(X25:X29)</f>
        <v>0</v>
      </c>
      <c r="Y24" s="206">
        <f t="shared" ref="Y24" si="19">SUM(Y25:Y29)</f>
        <v>0</v>
      </c>
      <c r="Z24" s="206">
        <f t="shared" ref="Z24" si="20">SUM(Z25:Z29)</f>
        <v>0</v>
      </c>
    </row>
    <row r="25" spans="1:26" s="2" customFormat="1" ht="46.5" customHeight="1" x14ac:dyDescent="0.2">
      <c r="A25" s="10"/>
      <c r="B25" s="1" t="str">
        <f>'Politika 2'!B15</f>
        <v xml:space="preserve">a) Hartëzim i shërbimeve të  kujdesit për fëmijë në Bashkitë e origjinës së fëmijëve të vendosur aktualisht në IPSH-të publike dhe qendrat e zhvillimit. </v>
      </c>
      <c r="C25" s="29" t="s">
        <v>84</v>
      </c>
      <c r="D25" s="13" t="s">
        <v>91</v>
      </c>
      <c r="E25" s="13" t="s">
        <v>9</v>
      </c>
      <c r="F25" s="189" t="s">
        <v>10</v>
      </c>
      <c r="G25" s="189"/>
      <c r="H25" s="210">
        <f>'Politika 2'!J15</f>
        <v>65</v>
      </c>
      <c r="I25" s="210">
        <f>'Politika 2'!K15</f>
        <v>0</v>
      </c>
      <c r="J25" s="210">
        <f>'Politika 2'!L15</f>
        <v>65</v>
      </c>
      <c r="K25" s="210">
        <f>'Politika 2'!M15</f>
        <v>0</v>
      </c>
      <c r="L25" s="203">
        <f>'Politika 2'!U15</f>
        <v>65</v>
      </c>
      <c r="M25" s="203">
        <f>'Politika 2'!V15</f>
        <v>0</v>
      </c>
      <c r="N25" s="203">
        <f>'Politika 2'!W15</f>
        <v>0</v>
      </c>
      <c r="O25" s="203">
        <f>'Politika 2'!X15</f>
        <v>65</v>
      </c>
      <c r="P25" s="203">
        <f>'Politika 2'!Y15</f>
        <v>0</v>
      </c>
      <c r="Q25" s="204">
        <f>'Politika 2'!AG15</f>
        <v>0</v>
      </c>
      <c r="R25" s="204">
        <f>'Politika 2'!AH15</f>
        <v>0</v>
      </c>
      <c r="S25" s="204">
        <f>'Politika 2'!AI15</f>
        <v>0</v>
      </c>
      <c r="T25" s="204">
        <f>'Politika 2'!AJ15</f>
        <v>0</v>
      </c>
      <c r="U25" s="204">
        <f>'Politika 2'!AK15</f>
        <v>0</v>
      </c>
      <c r="V25" s="203">
        <f>'Politika 2'!AS15</f>
        <v>0</v>
      </c>
      <c r="W25" s="203">
        <f>'Politika 2'!AT15</f>
        <v>0</v>
      </c>
      <c r="X25" s="203">
        <f>'Politika 2'!AU15</f>
        <v>0</v>
      </c>
      <c r="Y25" s="203">
        <f>'Politika 2'!AV15</f>
        <v>0</v>
      </c>
      <c r="Z25" s="203">
        <f>'Politika 2'!AW15</f>
        <v>0</v>
      </c>
    </row>
    <row r="26" spans="1:26" s="2" customFormat="1" ht="29.25" customHeight="1" x14ac:dyDescent="0.2">
      <c r="A26" s="29"/>
      <c r="B26" s="1" t="str">
        <f>'Politika 2'!B16</f>
        <v>b) Zhvillimi i një kornize vlerësimi të unifikuar për fëmijën dhe familjen,si dhe mbështetja e zbatimit të saj në nivel kombëtar</v>
      </c>
      <c r="C26" s="29" t="s">
        <v>84</v>
      </c>
      <c r="D26" s="13" t="s">
        <v>92</v>
      </c>
      <c r="E26" s="13" t="s">
        <v>9</v>
      </c>
      <c r="F26" s="189" t="s">
        <v>10</v>
      </c>
      <c r="G26" s="189"/>
      <c r="H26" s="210">
        <f>'Politika 2'!J16</f>
        <v>120</v>
      </c>
      <c r="I26" s="210">
        <f>'Politika 2'!K16</f>
        <v>0</v>
      </c>
      <c r="J26" s="210">
        <f>'Politika 2'!L16</f>
        <v>120</v>
      </c>
      <c r="K26" s="210">
        <f>'Politika 2'!M16</f>
        <v>0</v>
      </c>
      <c r="L26" s="203">
        <f>'Politika 2'!U16</f>
        <v>120</v>
      </c>
      <c r="M26" s="203">
        <f>'Politika 2'!V16</f>
        <v>0</v>
      </c>
      <c r="N26" s="203">
        <f>'Politika 2'!W16</f>
        <v>0</v>
      </c>
      <c r="O26" s="203">
        <f>'Politika 2'!X16</f>
        <v>120</v>
      </c>
      <c r="P26" s="203">
        <f>'Politika 2'!Y16</f>
        <v>0</v>
      </c>
      <c r="Q26" s="204">
        <f>'Politika 2'!AG16</f>
        <v>0</v>
      </c>
      <c r="R26" s="204">
        <f>'Politika 2'!AH16</f>
        <v>0</v>
      </c>
      <c r="S26" s="204">
        <f>'Politika 2'!AI16</f>
        <v>0</v>
      </c>
      <c r="T26" s="204">
        <f>'Politika 2'!AJ16</f>
        <v>0</v>
      </c>
      <c r="U26" s="204">
        <f>'Politika 2'!AK16</f>
        <v>0</v>
      </c>
      <c r="V26" s="203">
        <f>'Politika 2'!AS16</f>
        <v>0</v>
      </c>
      <c r="W26" s="203">
        <f>'Politika 2'!AT16</f>
        <v>0</v>
      </c>
      <c r="X26" s="203">
        <f>'Politika 2'!AU16</f>
        <v>0</v>
      </c>
      <c r="Y26" s="203">
        <f>'Politika 2'!AV16</f>
        <v>0</v>
      </c>
      <c r="Z26" s="203">
        <f>'Politika 2'!AW16</f>
        <v>0</v>
      </c>
    </row>
    <row r="27" spans="1:26" s="2" customFormat="1" ht="44.25" customHeight="1" x14ac:dyDescent="0.2">
      <c r="A27" s="8"/>
      <c r="B27" s="1" t="str">
        <f>'Politika 2'!B17</f>
        <v xml:space="preserve">c) Ngritja e komisioneve bashkiake/rajonale, për parandalimin e institucionalizimit dhe ofrimin e kujdesit alternativ, për të mbështetur Strukturën e Posaçme për Shërbimet Sociale në bashki me vendimarrjen për ndarjen e fëmijës nga familja dhe vendosjen e tij në kujdes alternativ. </v>
      </c>
      <c r="C27" s="29" t="s">
        <v>84</v>
      </c>
      <c r="D27" s="50" t="s">
        <v>93</v>
      </c>
      <c r="E27" s="29" t="s">
        <v>9</v>
      </c>
      <c r="F27" s="187" t="s">
        <v>9</v>
      </c>
      <c r="G27" s="187"/>
      <c r="H27" s="210">
        <f>'Politika 2'!J17</f>
        <v>65</v>
      </c>
      <c r="I27" s="210">
        <f>'Politika 2'!K17</f>
        <v>0</v>
      </c>
      <c r="J27" s="210">
        <f>'Politika 2'!L17</f>
        <v>65</v>
      </c>
      <c r="K27" s="210">
        <f>'Politika 2'!M17</f>
        <v>0</v>
      </c>
      <c r="L27" s="203">
        <f>'Politika 2'!U17</f>
        <v>65</v>
      </c>
      <c r="M27" s="203">
        <f>'Politika 2'!V17</f>
        <v>0</v>
      </c>
      <c r="N27" s="203">
        <f>'Politika 2'!W17</f>
        <v>0</v>
      </c>
      <c r="O27" s="203">
        <f>'Politika 2'!X17</f>
        <v>65</v>
      </c>
      <c r="P27" s="203">
        <f>'Politika 2'!Y17</f>
        <v>0</v>
      </c>
      <c r="Q27" s="204">
        <f>'Politika 2'!AG17</f>
        <v>0</v>
      </c>
      <c r="R27" s="204">
        <f>'Politika 2'!AH17</f>
        <v>0</v>
      </c>
      <c r="S27" s="204">
        <f>'Politika 2'!AI17</f>
        <v>0</v>
      </c>
      <c r="T27" s="204">
        <f>'Politika 2'!AJ17</f>
        <v>0</v>
      </c>
      <c r="U27" s="204">
        <f>'Politika 2'!AK17</f>
        <v>0</v>
      </c>
      <c r="V27" s="203">
        <f>'Politika 2'!AS17</f>
        <v>0</v>
      </c>
      <c r="W27" s="203">
        <f>'Politika 2'!AT17</f>
        <v>0</v>
      </c>
      <c r="X27" s="203">
        <f>'Politika 2'!AU17</f>
        <v>0</v>
      </c>
      <c r="Y27" s="203">
        <f>'Politika 2'!AV17</f>
        <v>0</v>
      </c>
      <c r="Z27" s="203">
        <f>'Politika 2'!AW17</f>
        <v>0</v>
      </c>
    </row>
    <row r="28" spans="1:26" s="2" customFormat="1" ht="44.25" customHeight="1" x14ac:dyDescent="0.2">
      <c r="A28" s="8"/>
      <c r="B28" s="1" t="str">
        <f>'Politika 2'!B18</f>
        <v>d) Analizimi i rezultateve të vlerësimit, të të gjithë fëmijëve  të vendosur në IPSH-të publike dhe identifikimi i drejtimeve strategjike për transformimin e IPSH-ve nëqendra shërbimesh përkujdesit alternativ, duke prioritizuar fëmijët e moshës 0-6 vjeç</v>
      </c>
      <c r="C28" s="29" t="s">
        <v>84</v>
      </c>
      <c r="D28" s="49" t="s">
        <v>93</v>
      </c>
      <c r="E28" s="29" t="s">
        <v>14</v>
      </c>
      <c r="F28" s="187" t="s">
        <v>105</v>
      </c>
      <c r="G28" s="187"/>
      <c r="H28" s="210">
        <f>'Politika 2'!J18</f>
        <v>175</v>
      </c>
      <c r="I28" s="210">
        <f>'Politika 2'!K18</f>
        <v>0</v>
      </c>
      <c r="J28" s="210">
        <f>'Politika 2'!L18</f>
        <v>175</v>
      </c>
      <c r="K28" s="210">
        <f>'Politika 2'!M18</f>
        <v>0</v>
      </c>
      <c r="L28" s="203">
        <f>'Politika 2'!U18</f>
        <v>175</v>
      </c>
      <c r="M28" s="203">
        <f>'Politika 2'!V18</f>
        <v>0</v>
      </c>
      <c r="N28" s="203">
        <f>'Politika 2'!W18</f>
        <v>0</v>
      </c>
      <c r="O28" s="203">
        <f>'Politika 2'!X18</f>
        <v>175</v>
      </c>
      <c r="P28" s="203">
        <f>'Politika 2'!Y18</f>
        <v>0</v>
      </c>
      <c r="Q28" s="204">
        <f>'Politika 2'!AG18</f>
        <v>0</v>
      </c>
      <c r="R28" s="204">
        <f>'Politika 2'!AH18</f>
        <v>0</v>
      </c>
      <c r="S28" s="204">
        <f>'Politika 2'!AI18</f>
        <v>0</v>
      </c>
      <c r="T28" s="204">
        <f>'Politika 2'!AJ18</f>
        <v>0</v>
      </c>
      <c r="U28" s="204">
        <f>'Politika 2'!AK18</f>
        <v>0</v>
      </c>
      <c r="V28" s="203">
        <f>'Politika 2'!AS18</f>
        <v>0</v>
      </c>
      <c r="W28" s="203">
        <f>'Politika 2'!AT18</f>
        <v>0</v>
      </c>
      <c r="X28" s="203">
        <f>'Politika 2'!AU18</f>
        <v>0</v>
      </c>
      <c r="Y28" s="203">
        <f>'Politika 2'!AV18</f>
        <v>0</v>
      </c>
      <c r="Z28" s="203">
        <f>'Politika 2'!AW18</f>
        <v>0</v>
      </c>
    </row>
    <row r="29" spans="1:26" s="130" customFormat="1" ht="39.75" customHeight="1" x14ac:dyDescent="0.15">
      <c r="A29" s="29"/>
      <c r="B29" s="1" t="str">
        <f>'Politika 2'!B19</f>
        <v>e)  Rishikimi i kritereve dhe procedurave të licensimit për OJF-të që ofrojnë shërbime të kujdesit social dhe miratimi i tyre me vendim të Këshillit të Ministrave</v>
      </c>
      <c r="C29" s="8"/>
      <c r="D29" s="51"/>
      <c r="E29" s="8"/>
      <c r="F29" s="190"/>
      <c r="G29" s="189" t="s">
        <v>456</v>
      </c>
      <c r="H29" s="210">
        <f>'Politika 2'!J19</f>
        <v>551</v>
      </c>
      <c r="I29" s="210">
        <f>'Politika 2'!K19</f>
        <v>311</v>
      </c>
      <c r="J29" s="210">
        <f>'Politika 2'!L19</f>
        <v>240</v>
      </c>
      <c r="K29" s="210">
        <f>'Politika 2'!M19</f>
        <v>0</v>
      </c>
      <c r="L29" s="203">
        <f>'Politika 2'!U19</f>
        <v>275.5</v>
      </c>
      <c r="M29" s="203">
        <f>'Politika 2'!V19</f>
        <v>155.5</v>
      </c>
      <c r="N29" s="203">
        <f>'Politika 2'!W19</f>
        <v>0</v>
      </c>
      <c r="O29" s="203">
        <f>'Politika 2'!X19</f>
        <v>120</v>
      </c>
      <c r="P29" s="203">
        <f>'Politika 2'!Y19</f>
        <v>0</v>
      </c>
      <c r="Q29" s="204">
        <f>'Politika 2'!AG19</f>
        <v>275.5</v>
      </c>
      <c r="R29" s="204">
        <f>'Politika 2'!AH19</f>
        <v>155.5</v>
      </c>
      <c r="S29" s="204">
        <f>'Politika 2'!AI19</f>
        <v>0</v>
      </c>
      <c r="T29" s="204">
        <f>'Politika 2'!AJ19</f>
        <v>120</v>
      </c>
      <c r="U29" s="204">
        <f>'Politika 2'!AK19</f>
        <v>0</v>
      </c>
      <c r="V29" s="203">
        <f>'Politika 2'!AS19</f>
        <v>0</v>
      </c>
      <c r="W29" s="203">
        <f>'Politika 2'!AT19</f>
        <v>0</v>
      </c>
      <c r="X29" s="203">
        <f>'Politika 2'!AU19</f>
        <v>0</v>
      </c>
      <c r="Y29" s="203">
        <f>'Politika 2'!AV19</f>
        <v>0</v>
      </c>
      <c r="Z29" s="203">
        <f>'Politika 2'!AW19</f>
        <v>0</v>
      </c>
    </row>
    <row r="30" spans="1:26" s="2" customFormat="1" ht="96.75" customHeight="1" x14ac:dyDescent="0.2">
      <c r="A30" s="145"/>
      <c r="B30" s="162" t="s">
        <v>349</v>
      </c>
      <c r="C30" s="29" t="s">
        <v>84</v>
      </c>
      <c r="D30" s="49" t="s">
        <v>20</v>
      </c>
      <c r="E30" s="29" t="s">
        <v>21</v>
      </c>
      <c r="F30" s="187" t="s">
        <v>10</v>
      </c>
      <c r="G30" s="270" t="s">
        <v>457</v>
      </c>
      <c r="H30" s="211">
        <f>SUM(H31:H38)</f>
        <v>4447</v>
      </c>
      <c r="I30" s="211">
        <f t="shared" ref="I30:K30" si="21">SUM(I31:I38)</f>
        <v>1252</v>
      </c>
      <c r="J30" s="211">
        <f t="shared" si="21"/>
        <v>3195</v>
      </c>
      <c r="K30" s="211">
        <f t="shared" si="21"/>
        <v>0</v>
      </c>
      <c r="L30" s="211">
        <f t="shared" ref="L30" si="22">SUM(L31:L38)</f>
        <v>4025</v>
      </c>
      <c r="M30" s="211">
        <f t="shared" ref="M30" si="23">SUM(M31:M38)</f>
        <v>1172</v>
      </c>
      <c r="N30" s="211">
        <f t="shared" ref="N30" si="24">SUM(N31:N38)</f>
        <v>0</v>
      </c>
      <c r="O30" s="211">
        <f t="shared" ref="O30" si="25">SUM(O31:O38)</f>
        <v>2853</v>
      </c>
      <c r="P30" s="211">
        <f t="shared" ref="P30" si="26">SUM(P31:P38)</f>
        <v>0</v>
      </c>
      <c r="Q30" s="211">
        <f t="shared" ref="Q30" si="27">SUM(Q31:Q38)</f>
        <v>422</v>
      </c>
      <c r="R30" s="211">
        <f t="shared" ref="R30" si="28">SUM(R31:R38)</f>
        <v>80</v>
      </c>
      <c r="S30" s="211">
        <f t="shared" ref="S30" si="29">SUM(S31:S38)</f>
        <v>0</v>
      </c>
      <c r="T30" s="211">
        <f t="shared" ref="T30" si="30">SUM(T31:T38)</f>
        <v>342</v>
      </c>
      <c r="U30" s="211">
        <f t="shared" ref="U30" si="31">SUM(U31:U38)</f>
        <v>0</v>
      </c>
      <c r="V30" s="211">
        <f t="shared" ref="V30:W30" si="32">SUM(V31:V38)</f>
        <v>0</v>
      </c>
      <c r="W30" s="211">
        <f t="shared" si="32"/>
        <v>0</v>
      </c>
      <c r="X30" s="211">
        <f t="shared" ref="X30" si="33">SUM(X31:X38)</f>
        <v>0</v>
      </c>
      <c r="Y30" s="211">
        <f t="shared" ref="Y30" si="34">SUM(Y31:Y38)</f>
        <v>0</v>
      </c>
      <c r="Z30" s="211">
        <f t="shared" ref="Z30" si="35">SUM(Z31:Z38)</f>
        <v>0</v>
      </c>
    </row>
    <row r="31" spans="1:26" s="2" customFormat="1" ht="91.5" customHeight="1" x14ac:dyDescent="0.2">
      <c r="A31" s="8"/>
      <c r="B31" s="12" t="str">
        <f>'Politika 2'!B21</f>
        <v xml:space="preserve">a) Zhvillimi dhe ngritja e shërbimeve psiko-sociale  më qëllim identifikimin e fëmijëve në rrezik braktisjeje, ndërhyrjen e hershme, ofrimi i mbështetjes  brenda maternitetit dhe ndërveprimi me komunitetet, për të mbështetur prindërit me fëmijë foshnja. në qendrat shëndetësore, konsultore dhe maternitetet e qyteteve kryesore,  (Tirana, Durrës, Elbasan, Shkodra, Korça, Vlora, Berat) </v>
      </c>
      <c r="C31" s="29" t="s">
        <v>84</v>
      </c>
      <c r="D31" s="50" t="s">
        <v>22</v>
      </c>
      <c r="E31" s="29" t="s">
        <v>21</v>
      </c>
      <c r="F31" s="187" t="s">
        <v>10</v>
      </c>
      <c r="G31" s="189" t="s">
        <v>458</v>
      </c>
      <c r="H31" s="209">
        <f>'Politika 2'!J21</f>
        <v>1172</v>
      </c>
      <c r="I31" s="209">
        <f>'Politika 2'!K21</f>
        <v>1172</v>
      </c>
      <c r="J31" s="209">
        <f>'Politika 2'!L21</f>
        <v>0</v>
      </c>
      <c r="K31" s="209">
        <f>'Politika 2'!M21</f>
        <v>0</v>
      </c>
      <c r="L31" s="203">
        <f>'Politika 2'!U21</f>
        <v>1172</v>
      </c>
      <c r="M31" s="203">
        <f>'Politika 2'!V21</f>
        <v>1172</v>
      </c>
      <c r="N31" s="203">
        <f>'Politika 2'!W21</f>
        <v>0</v>
      </c>
      <c r="O31" s="203">
        <f>'Politika 2'!X21</f>
        <v>0</v>
      </c>
      <c r="P31" s="203">
        <f>'Politika 2'!Y21</f>
        <v>0</v>
      </c>
      <c r="Q31" s="204">
        <f>'Politika 2'!AG21</f>
        <v>0</v>
      </c>
      <c r="R31" s="204">
        <f>'Politika 2'!AH21</f>
        <v>0</v>
      </c>
      <c r="S31" s="204">
        <f>'Politika 2'!AI21</f>
        <v>0</v>
      </c>
      <c r="T31" s="204">
        <f>'Politika 2'!AJ21</f>
        <v>0</v>
      </c>
      <c r="U31" s="204">
        <f>'Politika 2'!AK21</f>
        <v>0</v>
      </c>
      <c r="V31" s="203">
        <f>'Politika 2'!AS21</f>
        <v>0</v>
      </c>
      <c r="W31" s="203">
        <f>'Politika 2'!AT21</f>
        <v>0</v>
      </c>
      <c r="X31" s="203">
        <f>'Politika 2'!AU21</f>
        <v>0</v>
      </c>
      <c r="Y31" s="203">
        <f>'Politika 2'!AV21</f>
        <v>0</v>
      </c>
      <c r="Z31" s="203">
        <f>'Politika 2'!AW21</f>
        <v>0</v>
      </c>
    </row>
    <row r="32" spans="1:26" s="2" customFormat="1" ht="24" customHeight="1" x14ac:dyDescent="0.2">
      <c r="A32" s="8"/>
      <c r="B32" s="12" t="str">
        <f>'Politika 2'!B22</f>
        <v>b)Hartimi i përshkrimeve të punës për personelin e shërbmit psiko-social në maternitete</v>
      </c>
      <c r="C32" s="29" t="s">
        <v>84</v>
      </c>
      <c r="D32" s="49" t="s">
        <v>22</v>
      </c>
      <c r="E32" s="29" t="s">
        <v>23</v>
      </c>
      <c r="F32" s="187" t="s">
        <v>10</v>
      </c>
      <c r="G32" s="187"/>
      <c r="H32" s="209">
        <f>'Politika 2'!J22</f>
        <v>570</v>
      </c>
      <c r="I32" s="209">
        <f>'Politika 2'!K22</f>
        <v>0</v>
      </c>
      <c r="J32" s="209">
        <f>'Politika 2'!L22</f>
        <v>570</v>
      </c>
      <c r="K32" s="209">
        <f>'Politika 2'!M22</f>
        <v>0</v>
      </c>
      <c r="L32" s="203">
        <f>'Politika 2'!U22</f>
        <v>570</v>
      </c>
      <c r="M32" s="203">
        <f>'Politika 2'!V22</f>
        <v>0</v>
      </c>
      <c r="N32" s="203">
        <f>'Politika 2'!W22</f>
        <v>0</v>
      </c>
      <c r="O32" s="203">
        <f>'Politika 2'!X22</f>
        <v>570</v>
      </c>
      <c r="P32" s="203">
        <f>'Politika 2'!Y22</f>
        <v>0</v>
      </c>
      <c r="Q32" s="204">
        <f>'Politika 2'!AG22</f>
        <v>0</v>
      </c>
      <c r="R32" s="204">
        <f>'Politika 2'!AH22</f>
        <v>0</v>
      </c>
      <c r="S32" s="204">
        <f>'Politika 2'!AI22</f>
        <v>0</v>
      </c>
      <c r="T32" s="204">
        <f>'Politika 2'!AJ22</f>
        <v>0</v>
      </c>
      <c r="U32" s="204">
        <f>'Politika 2'!AK22</f>
        <v>0</v>
      </c>
      <c r="V32" s="203">
        <f>'Politika 2'!AS22</f>
        <v>0</v>
      </c>
      <c r="W32" s="203">
        <f>'Politika 2'!AT22</f>
        <v>0</v>
      </c>
      <c r="X32" s="203">
        <f>'Politika 2'!AU22</f>
        <v>0</v>
      </c>
      <c r="Y32" s="203">
        <f>'Politika 2'!AV22</f>
        <v>0</v>
      </c>
      <c r="Z32" s="203">
        <f>'Politika 2'!AW22</f>
        <v>0</v>
      </c>
    </row>
    <row r="33" spans="1:26" s="2" customFormat="1" ht="36" customHeight="1" x14ac:dyDescent="0.2">
      <c r="A33" s="8"/>
      <c r="B33" s="12" t="str">
        <f>'Politika 2'!B23</f>
        <v>c) Zhvillimi dhe ngritja e një mekanizmi efektiv referimi dhe protokollit të të punuarit së-bashku për identifikimin e hershëm të rasteve të braktisjes së fëmijëve të porsalindur.</v>
      </c>
      <c r="C33" s="29" t="s">
        <v>84</v>
      </c>
      <c r="D33" s="49" t="s">
        <v>72</v>
      </c>
      <c r="E33" s="29" t="s">
        <v>23</v>
      </c>
      <c r="F33" s="187" t="s">
        <v>14</v>
      </c>
      <c r="G33" s="187"/>
      <c r="H33" s="209">
        <f>'Politika 2'!J23</f>
        <v>270</v>
      </c>
      <c r="I33" s="209">
        <f>'Politika 2'!K23</f>
        <v>0</v>
      </c>
      <c r="J33" s="209">
        <f>'Politika 2'!L23</f>
        <v>270</v>
      </c>
      <c r="K33" s="209">
        <f>'Politika 2'!M23</f>
        <v>0</v>
      </c>
      <c r="L33" s="203">
        <f>'Politika 2'!U23</f>
        <v>135</v>
      </c>
      <c r="M33" s="203">
        <f>'Politika 2'!V23</f>
        <v>0</v>
      </c>
      <c r="N33" s="203">
        <f>'Politika 2'!W23</f>
        <v>0</v>
      </c>
      <c r="O33" s="203">
        <f>'Politika 2'!X23</f>
        <v>135</v>
      </c>
      <c r="P33" s="203">
        <f>'Politika 2'!Y23</f>
        <v>0</v>
      </c>
      <c r="Q33" s="204">
        <f>'Politika 2'!AG23</f>
        <v>135</v>
      </c>
      <c r="R33" s="204">
        <f>'Politika 2'!AH23</f>
        <v>0</v>
      </c>
      <c r="S33" s="204">
        <f>'Politika 2'!AI23</f>
        <v>0</v>
      </c>
      <c r="T33" s="204">
        <f>'Politika 2'!AJ23</f>
        <v>135</v>
      </c>
      <c r="U33" s="204">
        <f>'Politika 2'!AK23</f>
        <v>0</v>
      </c>
      <c r="V33" s="203">
        <f>'Politika 2'!AS23</f>
        <v>0</v>
      </c>
      <c r="W33" s="203">
        <f>'Politika 2'!AT23</f>
        <v>0</v>
      </c>
      <c r="X33" s="203">
        <f>'Politika 2'!AU23</f>
        <v>0</v>
      </c>
      <c r="Y33" s="203">
        <f>'Politika 2'!AV23</f>
        <v>0</v>
      </c>
      <c r="Z33" s="203">
        <f>'Politika 2'!AW23</f>
        <v>0</v>
      </c>
    </row>
    <row r="34" spans="1:26" s="2" customFormat="1" ht="36.75" customHeight="1" x14ac:dyDescent="0.2">
      <c r="A34" s="8"/>
      <c r="B34" s="12" t="str">
        <f>'Politika 2'!B24</f>
        <v xml:space="preserve">d) Hartimi i një programi mbështetës për kategorinë e nënave që rrezikojnë braktisjen e fëmijës, përfshirë strehimin, punësimin, arsimimin, edukimin për prindërim, kujdesin e hershëm për fëmijën  përfshirë fëmijët me PAK. </v>
      </c>
      <c r="C34" s="29" t="s">
        <v>84</v>
      </c>
      <c r="D34" s="49" t="s">
        <v>73</v>
      </c>
      <c r="E34" s="29" t="s">
        <v>14</v>
      </c>
      <c r="F34" s="187" t="s">
        <v>12</v>
      </c>
      <c r="G34" s="187"/>
      <c r="H34" s="209">
        <f>'Politika 2'!J24</f>
        <v>390</v>
      </c>
      <c r="I34" s="209">
        <f>'Politika 2'!K24</f>
        <v>0</v>
      </c>
      <c r="J34" s="209">
        <f>'Politika 2'!L24</f>
        <v>390</v>
      </c>
      <c r="K34" s="209">
        <f>'Politika 2'!M24</f>
        <v>0</v>
      </c>
      <c r="L34" s="203">
        <f>'Politika 2'!U24</f>
        <v>183</v>
      </c>
      <c r="M34" s="203">
        <f>'Politika 2'!V24</f>
        <v>0</v>
      </c>
      <c r="N34" s="203">
        <f>'Politika 2'!W24</f>
        <v>0</v>
      </c>
      <c r="O34" s="203">
        <f>'Politika 2'!X24</f>
        <v>183</v>
      </c>
      <c r="P34" s="203">
        <f>'Politika 2'!Y24</f>
        <v>0</v>
      </c>
      <c r="Q34" s="204">
        <f>'Politika 2'!AG24</f>
        <v>207</v>
      </c>
      <c r="R34" s="204">
        <f>'Politika 2'!AH24</f>
        <v>0</v>
      </c>
      <c r="S34" s="204">
        <f>'Politika 2'!AI24</f>
        <v>0</v>
      </c>
      <c r="T34" s="204">
        <f>'Politika 2'!AJ24</f>
        <v>207</v>
      </c>
      <c r="U34" s="204">
        <f>'Politika 2'!AK24</f>
        <v>0</v>
      </c>
      <c r="V34" s="203">
        <f>'Politika 2'!AS24</f>
        <v>0</v>
      </c>
      <c r="W34" s="203">
        <f>'Politika 2'!AT24</f>
        <v>0</v>
      </c>
      <c r="X34" s="203">
        <f>'Politika 2'!AU24</f>
        <v>0</v>
      </c>
      <c r="Y34" s="203">
        <f>'Politika 2'!AV24</f>
        <v>0</v>
      </c>
      <c r="Z34" s="203">
        <f>'Politika 2'!AW24</f>
        <v>0</v>
      </c>
    </row>
    <row r="35" spans="1:26" s="2" customFormat="1" ht="36.75" customHeight="1" x14ac:dyDescent="0.2">
      <c r="A35" s="8"/>
      <c r="B35" s="12" t="str">
        <f>'Politika 2'!B25</f>
        <v xml:space="preserve">e) Modelimi  dhe ngtitja  shërbimeve sociale për nënën dhe fëmijën me bazë komunitare në të paktën 3 bashki (Korçë, Vlorë, Tiranë) të konsultuara me grupet e interesit psh. Pak, Romët etc. </v>
      </c>
      <c r="C35" s="29" t="s">
        <v>84</v>
      </c>
      <c r="D35" s="49" t="s">
        <v>73</v>
      </c>
      <c r="E35" s="29" t="s">
        <v>14</v>
      </c>
      <c r="F35" s="187" t="s">
        <v>12</v>
      </c>
      <c r="G35" s="187"/>
      <c r="H35" s="209">
        <f>'Politika 2'!J25</f>
        <v>195</v>
      </c>
      <c r="I35" s="209">
        <f>'Politika 2'!K25</f>
        <v>0</v>
      </c>
      <c r="J35" s="209">
        <f>'Politika 2'!L25</f>
        <v>195</v>
      </c>
      <c r="K35" s="209">
        <f>'Politika 2'!M25</f>
        <v>0</v>
      </c>
      <c r="L35" s="203">
        <f>'Politika 2'!U25</f>
        <v>195</v>
      </c>
      <c r="M35" s="203">
        <f>'Politika 2'!V25</f>
        <v>0</v>
      </c>
      <c r="N35" s="203">
        <f>'Politika 2'!W25</f>
        <v>0</v>
      </c>
      <c r="O35" s="203">
        <f>'Politika 2'!X25</f>
        <v>195</v>
      </c>
      <c r="P35" s="203">
        <f>'Politika 2'!Y25</f>
        <v>0</v>
      </c>
      <c r="Q35" s="204">
        <f>'Politika 2'!AG25</f>
        <v>0</v>
      </c>
      <c r="R35" s="204">
        <f>'Politika 2'!AH25</f>
        <v>0</v>
      </c>
      <c r="S35" s="204">
        <f>'Politika 2'!AI25</f>
        <v>0</v>
      </c>
      <c r="T35" s="204">
        <f>'Politika 2'!AJ25</f>
        <v>0</v>
      </c>
      <c r="U35" s="204">
        <f>'Politika 2'!AK25</f>
        <v>0</v>
      </c>
      <c r="V35" s="203">
        <f>'Politika 2'!AS25</f>
        <v>0</v>
      </c>
      <c r="W35" s="203">
        <f>'Politika 2'!AT25</f>
        <v>0</v>
      </c>
      <c r="X35" s="203">
        <f>'Politika 2'!AU25</f>
        <v>0</v>
      </c>
      <c r="Y35" s="203">
        <f>'Politika 2'!AV25</f>
        <v>0</v>
      </c>
      <c r="Z35" s="203">
        <f>'Politika 2'!AW25</f>
        <v>0</v>
      </c>
    </row>
    <row r="36" spans="1:26" s="2" customFormat="1" ht="33.75" customHeight="1" x14ac:dyDescent="0.2">
      <c r="A36" s="8"/>
      <c r="B36" s="12" t="str">
        <f>'Politika 2'!B26</f>
        <v xml:space="preserve">f) Hartimi  dhe  pilotimi i një modeli shërbimi ditor, si dhe mundësitë për të mbështetur familjen, shërbim të specializuar për fëmijët. (Qendra e Zhvillimit Durrës).  </v>
      </c>
      <c r="C36" s="29" t="s">
        <v>84</v>
      </c>
      <c r="D36" s="49" t="s">
        <v>73</v>
      </c>
      <c r="E36" s="29" t="s">
        <v>14</v>
      </c>
      <c r="F36" s="187" t="s">
        <v>12</v>
      </c>
      <c r="G36" s="187"/>
      <c r="H36" s="209">
        <f>'Politika 2'!J26</f>
        <v>390</v>
      </c>
      <c r="I36" s="209">
        <f>'Politika 2'!K26</f>
        <v>0</v>
      </c>
      <c r="J36" s="209">
        <f>'Politika 2'!L26</f>
        <v>390</v>
      </c>
      <c r="K36" s="209">
        <f>'Politika 2'!M26</f>
        <v>0</v>
      </c>
      <c r="L36" s="203">
        <f>'Politika 2'!U26</f>
        <v>390</v>
      </c>
      <c r="M36" s="203">
        <f>'Politika 2'!V26</f>
        <v>0</v>
      </c>
      <c r="N36" s="203">
        <f>'Politika 2'!W26</f>
        <v>0</v>
      </c>
      <c r="O36" s="203">
        <f>'Politika 2'!X26</f>
        <v>390</v>
      </c>
      <c r="P36" s="203">
        <f>'Politika 2'!Y26</f>
        <v>0</v>
      </c>
      <c r="Q36" s="204">
        <f>'Politika 2'!AG26</f>
        <v>0</v>
      </c>
      <c r="R36" s="204">
        <f>'Politika 2'!AH26</f>
        <v>0</v>
      </c>
      <c r="S36" s="204">
        <f>'Politika 2'!AI26</f>
        <v>0</v>
      </c>
      <c r="T36" s="204">
        <f>'Politika 2'!AJ26</f>
        <v>0</v>
      </c>
      <c r="U36" s="204">
        <f>'Politika 2'!AK26</f>
        <v>0</v>
      </c>
      <c r="V36" s="203">
        <f>'Politika 2'!AS26</f>
        <v>0</v>
      </c>
      <c r="W36" s="203">
        <f>'Politika 2'!AT26</f>
        <v>0</v>
      </c>
      <c r="X36" s="203">
        <f>'Politika 2'!AU26</f>
        <v>0</v>
      </c>
      <c r="Y36" s="203">
        <f>'Politika 2'!AV26</f>
        <v>0</v>
      </c>
      <c r="Z36" s="203">
        <f>'Politika 2'!AW26</f>
        <v>0</v>
      </c>
    </row>
    <row r="37" spans="1:26" s="131" customFormat="1" ht="25.5" customHeight="1" x14ac:dyDescent="0.15">
      <c r="A37" s="8"/>
      <c r="B37" s="12" t="str">
        <f>'Politika 2'!B27</f>
        <v xml:space="preserve">g) Hartimi i planit për replikimin e modeleve të zhvilluara në nivel kombëtar. </v>
      </c>
      <c r="C37" s="8"/>
      <c r="D37" s="8"/>
      <c r="E37" s="8"/>
      <c r="F37" s="190"/>
      <c r="G37" s="190"/>
      <c r="H37" s="209">
        <f>'Politika 2'!J27</f>
        <v>80</v>
      </c>
      <c r="I37" s="209">
        <f>'Politika 2'!K27</f>
        <v>80</v>
      </c>
      <c r="J37" s="209">
        <f>'Politika 2'!L27</f>
        <v>0</v>
      </c>
      <c r="K37" s="209">
        <f>'Politika 2'!M27</f>
        <v>0</v>
      </c>
      <c r="L37" s="203">
        <f>'Politika 2'!U27</f>
        <v>0</v>
      </c>
      <c r="M37" s="203">
        <f>'Politika 2'!V27</f>
        <v>0</v>
      </c>
      <c r="N37" s="203">
        <f>'Politika 2'!W27</f>
        <v>0</v>
      </c>
      <c r="O37" s="203">
        <f>'Politika 2'!X27</f>
        <v>0</v>
      </c>
      <c r="P37" s="203">
        <f>'Politika 2'!Y27</f>
        <v>0</v>
      </c>
      <c r="Q37" s="204">
        <f>'Politika 2'!AG27</f>
        <v>80</v>
      </c>
      <c r="R37" s="204">
        <f>'Politika 2'!AH27</f>
        <v>80</v>
      </c>
      <c r="S37" s="204">
        <f>'Politika 2'!AI27</f>
        <v>0</v>
      </c>
      <c r="T37" s="204">
        <f>'Politika 2'!AJ27</f>
        <v>0</v>
      </c>
      <c r="U37" s="204">
        <f>'Politika 2'!AK27</f>
        <v>0</v>
      </c>
      <c r="V37" s="203">
        <f>'Politika 2'!AS27</f>
        <v>0</v>
      </c>
      <c r="W37" s="203">
        <f>'Politika 2'!AT27</f>
        <v>0</v>
      </c>
      <c r="X37" s="203">
        <f>'Politika 2'!AU27</f>
        <v>0</v>
      </c>
      <c r="Y37" s="203">
        <f>'Politika 2'!AV27</f>
        <v>0</v>
      </c>
      <c r="Z37" s="203">
        <f>'Politika 2'!AW27</f>
        <v>0</v>
      </c>
    </row>
    <row r="38" spans="1:26" s="2" customFormat="1" ht="60" customHeight="1" x14ac:dyDescent="0.2">
      <c r="A38" s="10"/>
      <c r="B38" s="12" t="str">
        <f>'Politika 2'!B28</f>
        <v>h) Vlerësimi dhe studim fizibiliteti për mundësinë e ngritjes së shërbimeve me bazë komunitare, (një njësie shërbimi)  dhe modelimi i shërbimit për fëmijët me aftësi të rënda fizike dhe intelektuale në mjedis/ të të përbashkëta jo të veçuara nga fëmijët e tjerë.</v>
      </c>
      <c r="C38" s="29" t="s">
        <v>84</v>
      </c>
      <c r="D38" s="29" t="s">
        <v>94</v>
      </c>
      <c r="E38" s="29" t="s">
        <v>21</v>
      </c>
      <c r="F38" s="187" t="s">
        <v>25</v>
      </c>
      <c r="G38" s="187"/>
      <c r="H38" s="209">
        <f>'Politika 2'!J28</f>
        <v>1380</v>
      </c>
      <c r="I38" s="209">
        <f>'Politika 2'!K28</f>
        <v>0</v>
      </c>
      <c r="J38" s="209">
        <f>'Politika 2'!L28</f>
        <v>1380</v>
      </c>
      <c r="K38" s="209">
        <f>'Politika 2'!M28</f>
        <v>0</v>
      </c>
      <c r="L38" s="203">
        <f>'Politika 2'!U28</f>
        <v>1380</v>
      </c>
      <c r="M38" s="203">
        <f>'Politika 2'!V28</f>
        <v>0</v>
      </c>
      <c r="N38" s="203">
        <f>'Politika 2'!W28</f>
        <v>0</v>
      </c>
      <c r="O38" s="203">
        <f>'Politika 2'!X28</f>
        <v>1380</v>
      </c>
      <c r="P38" s="203">
        <f>'Politika 2'!Y28</f>
        <v>0</v>
      </c>
      <c r="Q38" s="204">
        <f>'Politika 2'!AG28</f>
        <v>0</v>
      </c>
      <c r="R38" s="204">
        <f>'Politika 2'!AH28</f>
        <v>0</v>
      </c>
      <c r="S38" s="204">
        <f>'Politika 2'!AI28</f>
        <v>0</v>
      </c>
      <c r="T38" s="204">
        <f>'Politika 2'!AJ28</f>
        <v>0</v>
      </c>
      <c r="U38" s="204">
        <f>'Politika 2'!AK28</f>
        <v>0</v>
      </c>
      <c r="V38" s="203">
        <f>'Politika 2'!AS28</f>
        <v>0</v>
      </c>
      <c r="W38" s="203">
        <f>'Politika 2'!AT28</f>
        <v>0</v>
      </c>
      <c r="X38" s="203">
        <f>'Politika 2'!AU28</f>
        <v>0</v>
      </c>
      <c r="Y38" s="203">
        <f>'Politika 2'!AV28</f>
        <v>0</v>
      </c>
      <c r="Z38" s="203">
        <f>'Politika 2'!AW28</f>
        <v>0</v>
      </c>
    </row>
    <row r="39" spans="1:26" s="2" customFormat="1" ht="48" customHeight="1" x14ac:dyDescent="0.2">
      <c r="A39" s="149">
        <v>3</v>
      </c>
      <c r="B39" s="46" t="s">
        <v>225</v>
      </c>
      <c r="C39" s="29" t="s">
        <v>84</v>
      </c>
      <c r="D39" s="29" t="s">
        <v>94</v>
      </c>
      <c r="E39" s="29" t="s">
        <v>21</v>
      </c>
      <c r="F39" s="187" t="s">
        <v>25</v>
      </c>
      <c r="G39" s="352" t="s">
        <v>459</v>
      </c>
      <c r="H39" s="223">
        <f>H40+H47+H54+H59+H72</f>
        <v>44803</v>
      </c>
      <c r="I39" s="223">
        <f t="shared" ref="I39:Z39" si="36">I40+I47+I54+I59+I72</f>
        <v>25413</v>
      </c>
      <c r="J39" s="223">
        <f t="shared" si="36"/>
        <v>19390</v>
      </c>
      <c r="K39" s="223">
        <f t="shared" si="36"/>
        <v>0</v>
      </c>
      <c r="L39" s="223">
        <f t="shared" si="36"/>
        <v>23808</v>
      </c>
      <c r="M39" s="223">
        <f t="shared" si="36"/>
        <v>11210</v>
      </c>
      <c r="N39" s="223">
        <f t="shared" si="36"/>
        <v>0</v>
      </c>
      <c r="O39" s="223">
        <f t="shared" si="36"/>
        <v>12598</v>
      </c>
      <c r="P39" s="223">
        <f t="shared" si="36"/>
        <v>0</v>
      </c>
      <c r="Q39" s="223">
        <f t="shared" si="36"/>
        <v>12528</v>
      </c>
      <c r="R39" s="223">
        <f t="shared" si="36"/>
        <v>7716</v>
      </c>
      <c r="S39" s="223">
        <f t="shared" si="36"/>
        <v>0</v>
      </c>
      <c r="T39" s="223">
        <f t="shared" si="36"/>
        <v>4812</v>
      </c>
      <c r="U39" s="223">
        <f t="shared" si="36"/>
        <v>0</v>
      </c>
      <c r="V39" s="223">
        <f t="shared" si="36"/>
        <v>8467</v>
      </c>
      <c r="W39" s="223">
        <f t="shared" si="36"/>
        <v>6487</v>
      </c>
      <c r="X39" s="223">
        <f t="shared" si="36"/>
        <v>0</v>
      </c>
      <c r="Y39" s="223">
        <f t="shared" si="36"/>
        <v>1980</v>
      </c>
      <c r="Z39" s="223">
        <f t="shared" si="36"/>
        <v>0</v>
      </c>
    </row>
    <row r="40" spans="1:26" s="2" customFormat="1" ht="53.25" customHeight="1" x14ac:dyDescent="0.2">
      <c r="A40" s="213"/>
      <c r="B40" s="345" t="s">
        <v>391</v>
      </c>
      <c r="C40" s="29" t="s">
        <v>84</v>
      </c>
      <c r="D40" s="29" t="s">
        <v>94</v>
      </c>
      <c r="E40" s="29" t="s">
        <v>21</v>
      </c>
      <c r="F40" s="187" t="s">
        <v>25</v>
      </c>
      <c r="G40" s="349"/>
      <c r="H40" s="213">
        <f t="shared" ref="H40:Z40" si="37">SUM(H41:H46)</f>
        <v>13140</v>
      </c>
      <c r="I40" s="213">
        <f t="shared" si="37"/>
        <v>0</v>
      </c>
      <c r="J40" s="213">
        <f t="shared" si="37"/>
        <v>13140</v>
      </c>
      <c r="K40" s="213">
        <f t="shared" si="37"/>
        <v>0</v>
      </c>
      <c r="L40" s="213">
        <f t="shared" si="37"/>
        <v>8090</v>
      </c>
      <c r="M40" s="213">
        <f t="shared" si="37"/>
        <v>0</v>
      </c>
      <c r="N40" s="213">
        <f t="shared" si="37"/>
        <v>0</v>
      </c>
      <c r="O40" s="213">
        <f t="shared" si="37"/>
        <v>8090</v>
      </c>
      <c r="P40" s="213">
        <f t="shared" si="37"/>
        <v>0</v>
      </c>
      <c r="Q40" s="213">
        <f t="shared" si="37"/>
        <v>3200</v>
      </c>
      <c r="R40" s="213">
        <f t="shared" si="37"/>
        <v>0</v>
      </c>
      <c r="S40" s="213">
        <f t="shared" si="37"/>
        <v>0</v>
      </c>
      <c r="T40" s="213">
        <f t="shared" si="37"/>
        <v>3200</v>
      </c>
      <c r="U40" s="213">
        <f t="shared" si="37"/>
        <v>0</v>
      </c>
      <c r="V40" s="213">
        <f t="shared" si="37"/>
        <v>1850</v>
      </c>
      <c r="W40" s="213">
        <f t="shared" si="37"/>
        <v>0</v>
      </c>
      <c r="X40" s="213">
        <f t="shared" si="37"/>
        <v>0</v>
      </c>
      <c r="Y40" s="213">
        <f t="shared" si="37"/>
        <v>1850</v>
      </c>
      <c r="Z40" s="213">
        <f t="shared" si="37"/>
        <v>0</v>
      </c>
    </row>
    <row r="41" spans="1:26" s="2" customFormat="1" ht="60" customHeight="1" x14ac:dyDescent="0.2">
      <c r="A41" s="212"/>
      <c r="B41" s="20" t="str">
        <f>'Politika 3'!B12</f>
        <v>a) Koordinimi me drejtuesit e IPSH-ve dhe Qendrat e Zhvillimit, publike dhe private, për fëmijët 0-18 vjeç, me bashkitë, partnerët dhe strukturat e SHSSH-së për sigurimin e mirëqenies dhe deinstitucionalizimin e fëmijëve.</v>
      </c>
      <c r="C41" s="29" t="s">
        <v>84</v>
      </c>
      <c r="D41" s="29" t="s">
        <v>94</v>
      </c>
      <c r="E41" s="29" t="s">
        <v>26</v>
      </c>
      <c r="F41" s="187" t="s">
        <v>10</v>
      </c>
      <c r="G41" s="348"/>
      <c r="H41" s="214">
        <f>'Politika 3'!J12</f>
        <v>630</v>
      </c>
      <c r="I41" s="214">
        <f>'Politika 3'!K12</f>
        <v>0</v>
      </c>
      <c r="J41" s="214">
        <f>'Politika 3'!L12</f>
        <v>630</v>
      </c>
      <c r="K41" s="214">
        <f>'Politika 3'!M12</f>
        <v>0</v>
      </c>
      <c r="L41" s="204">
        <f>'Politika 3'!U12</f>
        <v>210</v>
      </c>
      <c r="M41" s="204">
        <f>'Politika 3'!V12</f>
        <v>0</v>
      </c>
      <c r="N41" s="204">
        <f>'Politika 3'!W12</f>
        <v>0</v>
      </c>
      <c r="O41" s="204">
        <f>'Politika 3'!X12</f>
        <v>210</v>
      </c>
      <c r="P41" s="204">
        <f>'Politika 3'!Y12</f>
        <v>0</v>
      </c>
      <c r="Q41" s="204">
        <f>'Politika 3'!AG12</f>
        <v>210</v>
      </c>
      <c r="R41" s="204">
        <f>'Politika 3'!AH12</f>
        <v>0</v>
      </c>
      <c r="S41" s="204">
        <f>'Politika 3'!AI12</f>
        <v>0</v>
      </c>
      <c r="T41" s="204">
        <f>'Politika 3'!AJ12</f>
        <v>210</v>
      </c>
      <c r="U41" s="204">
        <f>'Politika 3'!AK12</f>
        <v>0</v>
      </c>
      <c r="V41" s="204">
        <f>'Politika 3'!AS12</f>
        <v>210</v>
      </c>
      <c r="W41" s="204">
        <f>'Politika 3'!AT12</f>
        <v>0</v>
      </c>
      <c r="X41" s="204">
        <f>'Politika 3'!AU12</f>
        <v>0</v>
      </c>
      <c r="Y41" s="204">
        <f>'Politika 3'!AV12</f>
        <v>210</v>
      </c>
      <c r="Z41" s="204">
        <f>'Politika 3'!AW12</f>
        <v>0</v>
      </c>
    </row>
    <row r="42" spans="1:26" s="2" customFormat="1" ht="44.25" customHeight="1" x14ac:dyDescent="0.2">
      <c r="A42" s="8"/>
      <c r="B42" s="20" t="str">
        <f>'Politika 3'!B13</f>
        <v xml:space="preserve">b) Vlerësimi individual i gjithësecilit fëmijë dhe familjeve, rishikimi i vlerësimeve ekzistuese dhe planeve individuale të zhvillimit dhe përkujdesit (çdo 6 muaj) duke identifikuar mundësitë e ribashkimit. </v>
      </c>
      <c r="C42" s="29" t="s">
        <v>84</v>
      </c>
      <c r="D42" s="29" t="s">
        <v>94</v>
      </c>
      <c r="E42" s="29" t="s">
        <v>26</v>
      </c>
      <c r="F42" s="187" t="s">
        <v>10</v>
      </c>
      <c r="G42" s="348"/>
      <c r="H42" s="214">
        <f>'Politika 3'!J13</f>
        <v>3570</v>
      </c>
      <c r="I42" s="214">
        <f>'Politika 3'!K13</f>
        <v>0</v>
      </c>
      <c r="J42" s="214">
        <f>'Politika 3'!L13</f>
        <v>3570</v>
      </c>
      <c r="K42" s="214">
        <f>'Politika 3'!M13</f>
        <v>0</v>
      </c>
      <c r="L42" s="204">
        <f>'Politika 3'!U13</f>
        <v>3570</v>
      </c>
      <c r="M42" s="204">
        <f>'Politika 3'!V13</f>
        <v>0</v>
      </c>
      <c r="N42" s="204">
        <f>'Politika 3'!W13</f>
        <v>0</v>
      </c>
      <c r="O42" s="204">
        <f>'Politika 3'!X13</f>
        <v>3570</v>
      </c>
      <c r="P42" s="204">
        <f>'Politika 3'!Y13</f>
        <v>0</v>
      </c>
      <c r="Q42" s="204">
        <f>'Politika 3'!AG13</f>
        <v>0</v>
      </c>
      <c r="R42" s="204">
        <f>'Politika 3'!AH13</f>
        <v>0</v>
      </c>
      <c r="S42" s="204">
        <f>'Politika 3'!AI13</f>
        <v>0</v>
      </c>
      <c r="T42" s="204">
        <f>'Politika 3'!AJ13</f>
        <v>0</v>
      </c>
      <c r="U42" s="204">
        <f>'Politika 3'!AK13</f>
        <v>0</v>
      </c>
      <c r="V42" s="204">
        <f>'Politika 3'!AS13</f>
        <v>0</v>
      </c>
      <c r="W42" s="204">
        <f>'Politika 3'!AT13</f>
        <v>0</v>
      </c>
      <c r="X42" s="204">
        <f>'Politika 3'!AU13</f>
        <v>0</v>
      </c>
      <c r="Y42" s="204">
        <f>'Politika 3'!AV13</f>
        <v>0</v>
      </c>
      <c r="Z42" s="204">
        <f>'Politika 3'!AW13</f>
        <v>0</v>
      </c>
    </row>
    <row r="43" spans="1:26" s="2" customFormat="1" ht="41.25" customHeight="1" x14ac:dyDescent="0.2">
      <c r="A43" s="8"/>
      <c r="B43" s="20" t="str">
        <f>'Politika 3'!B14</f>
        <v xml:space="preserve">c) Vlerësimi i fëmijëve më AK dhe familjeve të tyre për të identifikuar mundësitë e deinstitucionalizimit për të informuar zhvillimin  i shërbimeve të ardhshme me nevojat e fëmijëve dhe familjeve. Hartimi i planeve individuale të zhvillimit dhe përkujdesit. </v>
      </c>
      <c r="C43" s="29" t="s">
        <v>74</v>
      </c>
      <c r="D43" s="29" t="s">
        <v>88</v>
      </c>
      <c r="E43" s="12" t="s">
        <v>25</v>
      </c>
      <c r="F43" s="191" t="s">
        <v>10</v>
      </c>
      <c r="G43" s="348"/>
      <c r="H43" s="214">
        <f>'Politika 3'!J14</f>
        <v>2700</v>
      </c>
      <c r="I43" s="214">
        <f>'Politika 3'!K14</f>
        <v>0</v>
      </c>
      <c r="J43" s="214">
        <f>'Politika 3'!L14</f>
        <v>2700</v>
      </c>
      <c r="K43" s="214">
        <f>'Politika 3'!M14</f>
        <v>0</v>
      </c>
      <c r="L43" s="204">
        <f>'Politika 3'!U14</f>
        <v>1350</v>
      </c>
      <c r="M43" s="204">
        <f>'Politika 3'!V14</f>
        <v>0</v>
      </c>
      <c r="N43" s="204">
        <f>'Politika 3'!W14</f>
        <v>0</v>
      </c>
      <c r="O43" s="204">
        <f>'Politika 3'!X14</f>
        <v>1350</v>
      </c>
      <c r="P43" s="204">
        <f>'Politika 3'!Y14</f>
        <v>0</v>
      </c>
      <c r="Q43" s="204">
        <f>'Politika 3'!AG14</f>
        <v>1350</v>
      </c>
      <c r="R43" s="204">
        <f>'Politika 3'!AH14</f>
        <v>0</v>
      </c>
      <c r="S43" s="204">
        <f>'Politika 3'!AI14</f>
        <v>0</v>
      </c>
      <c r="T43" s="204">
        <f>'Politika 3'!AJ14</f>
        <v>1350</v>
      </c>
      <c r="U43" s="204">
        <f>'Politika 3'!AK14</f>
        <v>0</v>
      </c>
      <c r="V43" s="204">
        <f>'Politika 3'!AS14</f>
        <v>0</v>
      </c>
      <c r="W43" s="204">
        <f>'Politika 3'!AT14</f>
        <v>0</v>
      </c>
      <c r="X43" s="204">
        <f>'Politika 3'!AU14</f>
        <v>0</v>
      </c>
      <c r="Y43" s="204">
        <f>'Politika 3'!AV14</f>
        <v>0</v>
      </c>
      <c r="Z43" s="204">
        <f>'Politika 3'!AW14</f>
        <v>0</v>
      </c>
    </row>
    <row r="44" spans="1:26" s="94" customFormat="1" ht="56.25" customHeight="1" x14ac:dyDescent="0.15">
      <c r="A44" s="8"/>
      <c r="B44" s="20" t="str">
        <f>'Politika 3'!B15</f>
        <v>d) Mbështetje e IPSH-ve dhe Qendrave të Zhvillimit për zbatimin e planeve individuale të zhvillimit, përkujdesjes dhe ribashkimit, duke e shoqëruar me përpjekjet për fuqizimin e familjeve</v>
      </c>
      <c r="C44" s="29" t="s">
        <v>84</v>
      </c>
      <c r="D44" s="29" t="s">
        <v>95</v>
      </c>
      <c r="E44" s="21" t="s">
        <v>21</v>
      </c>
      <c r="F44" s="192" t="s">
        <v>14</v>
      </c>
      <c r="G44" s="348"/>
      <c r="H44" s="214">
        <f>'Politika 3'!J15</f>
        <v>420</v>
      </c>
      <c r="I44" s="214">
        <f>'Politika 3'!K15</f>
        <v>0</v>
      </c>
      <c r="J44" s="214">
        <f>'Politika 3'!L15</f>
        <v>420</v>
      </c>
      <c r="K44" s="214">
        <f>'Politika 3'!M15</f>
        <v>0</v>
      </c>
      <c r="L44" s="204">
        <f>'Politika 3'!U15</f>
        <v>140</v>
      </c>
      <c r="M44" s="204">
        <f>'Politika 3'!V15</f>
        <v>0</v>
      </c>
      <c r="N44" s="204">
        <f>'Politika 3'!W15</f>
        <v>0</v>
      </c>
      <c r="O44" s="204">
        <f>'Politika 3'!X15</f>
        <v>140</v>
      </c>
      <c r="P44" s="204">
        <f>'Politika 3'!Y15</f>
        <v>0</v>
      </c>
      <c r="Q44" s="204">
        <f>'Politika 3'!AG15</f>
        <v>140</v>
      </c>
      <c r="R44" s="204">
        <f>'Politika 3'!AH15</f>
        <v>0</v>
      </c>
      <c r="S44" s="204">
        <f>'Politika 3'!AI15</f>
        <v>0</v>
      </c>
      <c r="T44" s="204">
        <f>'Politika 3'!AJ15</f>
        <v>140</v>
      </c>
      <c r="U44" s="204">
        <f>'Politika 3'!AK15</f>
        <v>0</v>
      </c>
      <c r="V44" s="204">
        <f>'Politika 3'!AS15</f>
        <v>140</v>
      </c>
      <c r="W44" s="204">
        <f>'Politika 3'!AT15</f>
        <v>0</v>
      </c>
      <c r="X44" s="204">
        <f>'Politika 3'!AU15</f>
        <v>0</v>
      </c>
      <c r="Y44" s="204">
        <f>'Politika 3'!AV15</f>
        <v>140</v>
      </c>
      <c r="Z44" s="204">
        <f>'Politika 3'!AW15</f>
        <v>0</v>
      </c>
    </row>
    <row r="45" spans="1:26" s="94" customFormat="1" ht="51" customHeight="1" x14ac:dyDescent="0.15">
      <c r="A45" s="8"/>
      <c r="B45" s="20" t="str">
        <f>'Politika 3'!B16</f>
        <v>e) De-institucionalizimi i fëmijëve me  dhe pa AK nga IPSH-të publike dhe Qendrat e Zhvillimit (IR) nëpërmjet bashkimit me familjet biologjike, kujdesit alternativ apo birësimit</v>
      </c>
      <c r="C45" s="21" t="s">
        <v>74</v>
      </c>
      <c r="D45" s="29" t="s">
        <v>96</v>
      </c>
      <c r="E45" s="21" t="s">
        <v>85</v>
      </c>
      <c r="F45" s="192" t="s">
        <v>12</v>
      </c>
      <c r="G45" s="348"/>
      <c r="H45" s="214">
        <f>'Politika 3'!J16</f>
        <v>4500</v>
      </c>
      <c r="I45" s="214">
        <f>'Politika 3'!K16</f>
        <v>0</v>
      </c>
      <c r="J45" s="214">
        <f>'Politika 3'!L16</f>
        <v>4500</v>
      </c>
      <c r="K45" s="214">
        <f>'Politika 3'!M16</f>
        <v>0</v>
      </c>
      <c r="L45" s="204">
        <f>'Politika 3'!U16</f>
        <v>1500</v>
      </c>
      <c r="M45" s="204">
        <f>'Politika 3'!V16</f>
        <v>0</v>
      </c>
      <c r="N45" s="204">
        <f>'Politika 3'!W16</f>
        <v>0</v>
      </c>
      <c r="O45" s="204">
        <f>'Politika 3'!X16</f>
        <v>1500</v>
      </c>
      <c r="P45" s="204">
        <f>'Politika 3'!Y16</f>
        <v>0</v>
      </c>
      <c r="Q45" s="204">
        <f>'Politika 3'!AG16</f>
        <v>1500</v>
      </c>
      <c r="R45" s="204">
        <f>'Politika 3'!AH16</f>
        <v>0</v>
      </c>
      <c r="S45" s="204">
        <f>'Politika 3'!AI16</f>
        <v>0</v>
      </c>
      <c r="T45" s="204">
        <f>'Politika 3'!AJ16</f>
        <v>1500</v>
      </c>
      <c r="U45" s="204">
        <f>'Politika 3'!AK16</f>
        <v>0</v>
      </c>
      <c r="V45" s="204">
        <f>'Politika 3'!AS16</f>
        <v>1500</v>
      </c>
      <c r="W45" s="204">
        <f>'Politika 3'!AT16</f>
        <v>0</v>
      </c>
      <c r="X45" s="204">
        <f>'Politika 3'!AU16</f>
        <v>0</v>
      </c>
      <c r="Y45" s="204">
        <f>'Politika 3'!AV16</f>
        <v>1500</v>
      </c>
      <c r="Z45" s="204">
        <f>'Politika 3'!AW16</f>
        <v>0</v>
      </c>
    </row>
    <row r="46" spans="1:26" s="94" customFormat="1" ht="48.75" customHeight="1" x14ac:dyDescent="0.15">
      <c r="A46" s="8"/>
      <c r="B46" s="20" t="str">
        <f>'Politika 3'!B17</f>
        <v>f) Mbështetja e rasteve të identifikuar për ribashkim me familjen biologjike - Faza e parë</v>
      </c>
      <c r="C46" s="21" t="s">
        <v>74</v>
      </c>
      <c r="D46" s="29" t="s">
        <v>88</v>
      </c>
      <c r="E46" s="21" t="s">
        <v>85</v>
      </c>
      <c r="F46" s="192" t="s">
        <v>12</v>
      </c>
      <c r="G46" s="348"/>
      <c r="H46" s="214">
        <f>'Politika 3'!J17</f>
        <v>1320</v>
      </c>
      <c r="I46" s="214">
        <f>'Politika 3'!K17</f>
        <v>0</v>
      </c>
      <c r="J46" s="214">
        <f>'Politika 3'!L17</f>
        <v>1320</v>
      </c>
      <c r="K46" s="214">
        <f>'Politika 3'!M17</f>
        <v>0</v>
      </c>
      <c r="L46" s="204">
        <f>'Politika 3'!U17</f>
        <v>1320</v>
      </c>
      <c r="M46" s="204">
        <f>'Politika 3'!V17</f>
        <v>0</v>
      </c>
      <c r="N46" s="204">
        <f>'Politika 3'!W17</f>
        <v>0</v>
      </c>
      <c r="O46" s="204">
        <f>'Politika 3'!X17</f>
        <v>1320</v>
      </c>
      <c r="P46" s="204">
        <f>'Politika 3'!Y17</f>
        <v>0</v>
      </c>
      <c r="Q46" s="204">
        <f>'Politika 3'!AG17</f>
        <v>0</v>
      </c>
      <c r="R46" s="204">
        <f>'Politika 3'!AH17</f>
        <v>0</v>
      </c>
      <c r="S46" s="204">
        <f>'Politika 3'!AI17</f>
        <v>0</v>
      </c>
      <c r="T46" s="204">
        <f>'Politika 3'!AJ17</f>
        <v>0</v>
      </c>
      <c r="U46" s="204">
        <f>'Politika 3'!AK17</f>
        <v>0</v>
      </c>
      <c r="V46" s="204">
        <f>'Politika 3'!AS17</f>
        <v>0</v>
      </c>
      <c r="W46" s="204">
        <f>'Politika 3'!AT17</f>
        <v>0</v>
      </c>
      <c r="X46" s="204">
        <f>'Politika 3'!AU17</f>
        <v>0</v>
      </c>
      <c r="Y46" s="204">
        <f>'Politika 3'!AV17</f>
        <v>0</v>
      </c>
      <c r="Z46" s="204">
        <f>'Politika 3'!AW17</f>
        <v>0</v>
      </c>
    </row>
    <row r="47" spans="1:26" s="4" customFormat="1" ht="72" customHeight="1" x14ac:dyDescent="0.2">
      <c r="A47" s="154"/>
      <c r="B47" s="345" t="s">
        <v>353</v>
      </c>
      <c r="C47" s="29" t="s">
        <v>84</v>
      </c>
      <c r="D47" s="29" t="s">
        <v>97</v>
      </c>
      <c r="E47" s="29" t="s">
        <v>82</v>
      </c>
      <c r="F47" s="187" t="s">
        <v>82</v>
      </c>
      <c r="G47" s="270" t="s">
        <v>328</v>
      </c>
      <c r="H47" s="213">
        <f>SUM(H48:H53)</f>
        <v>3891</v>
      </c>
      <c r="I47" s="213">
        <f>SUM(I48:I53)</f>
        <v>108</v>
      </c>
      <c r="J47" s="213">
        <f>SUM(J48:J53)</f>
        <v>3783</v>
      </c>
      <c r="K47" s="213">
        <f>SUM(K48:K53)</f>
        <v>0</v>
      </c>
      <c r="L47" s="213">
        <f t="shared" ref="L47:P47" si="38">SUM(L48:L53)</f>
        <v>2929</v>
      </c>
      <c r="M47" s="213">
        <f t="shared" si="38"/>
        <v>108</v>
      </c>
      <c r="N47" s="213">
        <f t="shared" si="38"/>
        <v>0</v>
      </c>
      <c r="O47" s="213">
        <f t="shared" si="38"/>
        <v>2821</v>
      </c>
      <c r="P47" s="213">
        <f t="shared" si="38"/>
        <v>0</v>
      </c>
      <c r="Q47" s="213">
        <f t="shared" ref="Q47" si="39">SUM(Q48:Q53)</f>
        <v>962</v>
      </c>
      <c r="R47" s="213">
        <f t="shared" ref="R47" si="40">SUM(R48:R53)</f>
        <v>0</v>
      </c>
      <c r="S47" s="213">
        <f t="shared" ref="S47" si="41">SUM(S48:S53)</f>
        <v>0</v>
      </c>
      <c r="T47" s="213">
        <f t="shared" ref="T47" si="42">SUM(T48:T53)</f>
        <v>962</v>
      </c>
      <c r="U47" s="213">
        <f t="shared" ref="U47" si="43">SUM(U48:U53)</f>
        <v>0</v>
      </c>
      <c r="V47" s="213">
        <f t="shared" ref="V47:W47" si="44">SUM(V48:V53)</f>
        <v>0</v>
      </c>
      <c r="W47" s="213">
        <f t="shared" si="44"/>
        <v>0</v>
      </c>
      <c r="X47" s="213">
        <f t="shared" ref="X47" si="45">SUM(X48:X53)</f>
        <v>0</v>
      </c>
      <c r="Y47" s="213">
        <f t="shared" ref="Y47" si="46">SUM(Y48:Y53)</f>
        <v>0</v>
      </c>
      <c r="Z47" s="213">
        <f t="shared" ref="Z47" si="47">SUM(Z48:Z53)</f>
        <v>0</v>
      </c>
    </row>
    <row r="48" spans="1:26" s="4" customFormat="1" ht="36" customHeight="1" x14ac:dyDescent="0.2">
      <c r="A48" s="8"/>
      <c r="B48" s="23" t="str">
        <f>'Politika 3'!B19</f>
        <v>a) Vlerësimi i IPSH-ve (fëmijë dhe familje, kapacitete e stafit, financat, infrastruktura, programi, pajisjet dhe performanca institucionale)</v>
      </c>
      <c r="C48" s="29" t="s">
        <v>125</v>
      </c>
      <c r="D48" s="29" t="s">
        <v>88</v>
      </c>
      <c r="E48" s="29" t="s">
        <v>21</v>
      </c>
      <c r="F48" s="187" t="s">
        <v>104</v>
      </c>
      <c r="G48" s="348"/>
      <c r="H48" s="209">
        <f>'Politika 3'!J19</f>
        <v>1755</v>
      </c>
      <c r="I48" s="209">
        <f>'Politika 3'!K19</f>
        <v>0</v>
      </c>
      <c r="J48" s="209">
        <f>'Politika 3'!L19</f>
        <v>1755</v>
      </c>
      <c r="K48" s="209">
        <f>'Politika 3'!M19</f>
        <v>0</v>
      </c>
      <c r="L48" s="204">
        <f>'Politika 3'!U19</f>
        <v>1755</v>
      </c>
      <c r="M48" s="204">
        <f>'Politika 3'!V19</f>
        <v>0</v>
      </c>
      <c r="N48" s="204">
        <f>'Politika 3'!W19</f>
        <v>0</v>
      </c>
      <c r="O48" s="204">
        <f>'Politika 3'!X19</f>
        <v>1755</v>
      </c>
      <c r="P48" s="204">
        <f>'Politika 3'!Y19</f>
        <v>0</v>
      </c>
      <c r="Q48" s="204">
        <f>'Politika 3'!AG19</f>
        <v>0</v>
      </c>
      <c r="R48" s="204">
        <f>'Politika 3'!AH19</f>
        <v>0</v>
      </c>
      <c r="S48" s="204">
        <f>'Politika 3'!AI19</f>
        <v>0</v>
      </c>
      <c r="T48" s="204">
        <f>'Politika 3'!AJ19</f>
        <v>0</v>
      </c>
      <c r="U48" s="204">
        <f>'Politika 3'!AK19</f>
        <v>0</v>
      </c>
      <c r="V48" s="204">
        <f>'Politika 3'!AS19</f>
        <v>0</v>
      </c>
      <c r="W48" s="204">
        <f>'Politika 3'!AT19</f>
        <v>0</v>
      </c>
      <c r="X48" s="204">
        <f>'Politika 3'!AU19</f>
        <v>0</v>
      </c>
      <c r="Y48" s="204">
        <f>'Politika 3'!AV19</f>
        <v>0</v>
      </c>
      <c r="Z48" s="204">
        <f>'Politika 3'!AW19</f>
        <v>0</v>
      </c>
    </row>
    <row r="49" spans="1:26" s="4" customFormat="1" ht="29.25" customHeight="1" x14ac:dyDescent="0.2">
      <c r="A49" s="8"/>
      <c r="B49" s="23" t="str">
        <f>'Politika 3'!B20</f>
        <v>b) Hartimi i një programi konkret, me 9 plane individuale tranformimi te 9 institucioneve, bazuar ne rekomandimet e vleresimit te kryer</v>
      </c>
      <c r="C49" s="29" t="s">
        <v>84</v>
      </c>
      <c r="D49" s="29" t="s">
        <v>97</v>
      </c>
      <c r="E49" s="29" t="s">
        <v>21</v>
      </c>
      <c r="F49" s="187" t="s">
        <v>10</v>
      </c>
      <c r="G49" s="348"/>
      <c r="H49" s="209">
        <f>'Politika 3'!J20</f>
        <v>702</v>
      </c>
      <c r="I49" s="209">
        <f>'Politika 3'!K20</f>
        <v>0</v>
      </c>
      <c r="J49" s="209">
        <f>'Politika 3'!L20</f>
        <v>702</v>
      </c>
      <c r="K49" s="209">
        <f>'Politika 3'!M20</f>
        <v>0</v>
      </c>
      <c r="L49" s="204">
        <f>'Politika 3'!U20</f>
        <v>351</v>
      </c>
      <c r="M49" s="204">
        <f>'Politika 3'!V20</f>
        <v>0</v>
      </c>
      <c r="N49" s="204">
        <f>'Politika 3'!W20</f>
        <v>0</v>
      </c>
      <c r="O49" s="204">
        <f>'Politika 3'!X20</f>
        <v>351</v>
      </c>
      <c r="P49" s="204">
        <f>'Politika 3'!Y20</f>
        <v>0</v>
      </c>
      <c r="Q49" s="204">
        <f>'Politika 3'!AG20</f>
        <v>351</v>
      </c>
      <c r="R49" s="204">
        <f>'Politika 3'!AH20</f>
        <v>0</v>
      </c>
      <c r="S49" s="204">
        <f>'Politika 3'!AI20</f>
        <v>0</v>
      </c>
      <c r="T49" s="204">
        <f>'Politika 3'!AJ20</f>
        <v>351</v>
      </c>
      <c r="U49" s="204">
        <f>'Politika 3'!AK20</f>
        <v>0</v>
      </c>
      <c r="V49" s="204">
        <f>'Politika 3'!AS20</f>
        <v>0</v>
      </c>
      <c r="W49" s="204">
        <f>'Politika 3'!AT20</f>
        <v>0</v>
      </c>
      <c r="X49" s="204">
        <f>'Politika 3'!AU20</f>
        <v>0</v>
      </c>
      <c r="Y49" s="204">
        <f>'Politika 3'!AV20</f>
        <v>0</v>
      </c>
      <c r="Z49" s="204">
        <f>'Politika 3'!AW20</f>
        <v>0</v>
      </c>
    </row>
    <row r="50" spans="1:26" s="4" customFormat="1" ht="57" customHeight="1" x14ac:dyDescent="0.2">
      <c r="A50" s="8"/>
      <c r="B50" s="23" t="str">
        <f>'Politika 3'!B21</f>
        <v>c) Zhvillimi i modeleve të shërbimeve të reja, të kujdesit alternativ: 1. Shërbime për fuqizimin e familjeve (për rastet komplekse); 2. Qender mbështetëse për kujdesin alternativ; 3. Zhvillimi i modelit të kujdesit alternativ profesional/ profesionist; 4. Zhvillimi i mekanizmit për parandalimin e ndarjes së fëmijës nga familja biologjike; 5 Shërbime të strehimit emergjent të sigurtë, bazuar në nevojat dhe kapacitetet.</v>
      </c>
      <c r="C50" s="29" t="s">
        <v>84</v>
      </c>
      <c r="D50" s="29" t="s">
        <v>97</v>
      </c>
      <c r="E50" s="29" t="s">
        <v>21</v>
      </c>
      <c r="F50" s="187" t="s">
        <v>25</v>
      </c>
      <c r="G50" s="348"/>
      <c r="H50" s="209">
        <f>'Politika 3'!J21</f>
        <v>212</v>
      </c>
      <c r="I50" s="209">
        <f>'Politika 3'!K21</f>
        <v>108</v>
      </c>
      <c r="J50" s="209">
        <f>'Politika 3'!L21</f>
        <v>104</v>
      </c>
      <c r="K50" s="209">
        <f>'Politika 3'!M21</f>
        <v>0</v>
      </c>
      <c r="L50" s="204">
        <f>'Politika 3'!U21</f>
        <v>212</v>
      </c>
      <c r="M50" s="204">
        <f>'Politika 3'!V21</f>
        <v>108</v>
      </c>
      <c r="N50" s="204">
        <f>'Politika 3'!W21</f>
        <v>0</v>
      </c>
      <c r="O50" s="204">
        <f>'Politika 3'!X21</f>
        <v>104</v>
      </c>
      <c r="P50" s="204">
        <f>'Politika 3'!Y21</f>
        <v>0</v>
      </c>
      <c r="Q50" s="204">
        <f>'Politika 3'!AG21</f>
        <v>0</v>
      </c>
      <c r="R50" s="204">
        <f>'Politika 3'!AH21</f>
        <v>0</v>
      </c>
      <c r="S50" s="204">
        <f>'Politika 3'!AI21</f>
        <v>0</v>
      </c>
      <c r="T50" s="204">
        <f>'Politika 3'!AJ21</f>
        <v>0</v>
      </c>
      <c r="U50" s="204">
        <f>'Politika 3'!AK21</f>
        <v>0</v>
      </c>
      <c r="V50" s="204">
        <f>'Politika 3'!AS21</f>
        <v>0</v>
      </c>
      <c r="W50" s="204">
        <f>'Politika 3'!AT21</f>
        <v>0</v>
      </c>
      <c r="X50" s="204">
        <f>'Politika 3'!AU21</f>
        <v>0</v>
      </c>
      <c r="Y50" s="204">
        <f>'Politika 3'!AV21</f>
        <v>0</v>
      </c>
      <c r="Z50" s="204">
        <f>'Politika 3'!AW21</f>
        <v>0</v>
      </c>
    </row>
    <row r="51" spans="1:26" s="4" customFormat="1" ht="53.25" customHeight="1" x14ac:dyDescent="0.2">
      <c r="A51" s="8"/>
      <c r="B51" s="23" t="str">
        <f>'Politika 3'!B22</f>
        <v xml:space="preserve">d) Mbështetje për rialokimin e burimeve financiare dhe njerëzore për transformimin e  IPSH-ve tek shërbimet e reja </v>
      </c>
      <c r="C51" s="29" t="s">
        <v>84</v>
      </c>
      <c r="D51" s="29" t="s">
        <v>97</v>
      </c>
      <c r="E51" s="29" t="s">
        <v>85</v>
      </c>
      <c r="F51" s="187" t="s">
        <v>10</v>
      </c>
      <c r="G51" s="348"/>
      <c r="H51" s="209">
        <f>'Politika 3'!J22</f>
        <v>702</v>
      </c>
      <c r="I51" s="209">
        <f>'Politika 3'!K22</f>
        <v>0</v>
      </c>
      <c r="J51" s="209">
        <f>'Politika 3'!L22</f>
        <v>702</v>
      </c>
      <c r="K51" s="209">
        <f>'Politika 3'!M22</f>
        <v>0</v>
      </c>
      <c r="L51" s="204">
        <f>'Politika 3'!U22</f>
        <v>351</v>
      </c>
      <c r="M51" s="204">
        <f>'Politika 3'!V22</f>
        <v>0</v>
      </c>
      <c r="N51" s="204">
        <f>'Politika 3'!W22</f>
        <v>0</v>
      </c>
      <c r="O51" s="204">
        <f>'Politika 3'!X22</f>
        <v>351</v>
      </c>
      <c r="P51" s="204">
        <f>'Politika 3'!Y22</f>
        <v>0</v>
      </c>
      <c r="Q51" s="204">
        <f>'Politika 3'!AG22</f>
        <v>351</v>
      </c>
      <c r="R51" s="204">
        <f>'Politika 3'!AH22</f>
        <v>0</v>
      </c>
      <c r="S51" s="204">
        <f>'Politika 3'!AI22</f>
        <v>0</v>
      </c>
      <c r="T51" s="204">
        <f>'Politika 3'!AJ22</f>
        <v>351</v>
      </c>
      <c r="U51" s="204">
        <f>'Politika 3'!AK22</f>
        <v>0</v>
      </c>
      <c r="V51" s="204">
        <f>'Politika 3'!AS22</f>
        <v>0</v>
      </c>
      <c r="W51" s="204">
        <f>'Politika 3'!AT22</f>
        <v>0</v>
      </c>
      <c r="X51" s="204">
        <f>'Politika 3'!AU22</f>
        <v>0</v>
      </c>
      <c r="Y51" s="204">
        <f>'Politika 3'!AV22</f>
        <v>0</v>
      </c>
      <c r="Z51" s="204">
        <f>'Politika 3'!AW22</f>
        <v>0</v>
      </c>
    </row>
    <row r="52" spans="1:26" s="4" customFormat="1" ht="57" customHeight="1" x14ac:dyDescent="0.2">
      <c r="A52" s="8"/>
      <c r="B52" s="23" t="str">
        <f>'Politika 3'!B23</f>
        <v>e) Zhvillimi dhe aplikimi i protokolleve dhe mekanizmave të llogaridhënies për shërbimet e reja (të integruara në sistemin aktual të përkujdesit shoqëror)</v>
      </c>
      <c r="C52" s="29" t="s">
        <v>84</v>
      </c>
      <c r="D52" s="29" t="s">
        <v>97</v>
      </c>
      <c r="E52" s="29" t="s">
        <v>21</v>
      </c>
      <c r="F52" s="187" t="s">
        <v>23</v>
      </c>
      <c r="G52" s="348"/>
      <c r="H52" s="209">
        <f>'Politika 3'!J23</f>
        <v>260</v>
      </c>
      <c r="I52" s="209">
        <f>'Politika 3'!K23</f>
        <v>0</v>
      </c>
      <c r="J52" s="209">
        <f>'Politika 3'!L23</f>
        <v>260</v>
      </c>
      <c r="K52" s="209">
        <f>'Politika 3'!M23</f>
        <v>0</v>
      </c>
      <c r="L52" s="204">
        <f>'Politika 3'!U23</f>
        <v>130</v>
      </c>
      <c r="M52" s="204">
        <f>'Politika 3'!V23</f>
        <v>0</v>
      </c>
      <c r="N52" s="204">
        <f>'Politika 3'!W23</f>
        <v>0</v>
      </c>
      <c r="O52" s="204">
        <f>'Politika 3'!X23</f>
        <v>130</v>
      </c>
      <c r="P52" s="204">
        <f>'Politika 3'!Y23</f>
        <v>0</v>
      </c>
      <c r="Q52" s="204">
        <f>'Politika 3'!AG23</f>
        <v>130</v>
      </c>
      <c r="R52" s="204">
        <f>'Politika 3'!AH23</f>
        <v>0</v>
      </c>
      <c r="S52" s="204">
        <f>'Politika 3'!AI23</f>
        <v>0</v>
      </c>
      <c r="T52" s="204">
        <f>'Politika 3'!AJ23</f>
        <v>130</v>
      </c>
      <c r="U52" s="204">
        <f>'Politika 3'!AK23</f>
        <v>0</v>
      </c>
      <c r="V52" s="204">
        <f>'Politika 3'!AS23</f>
        <v>0</v>
      </c>
      <c r="W52" s="204">
        <f>'Politika 3'!AT23</f>
        <v>0</v>
      </c>
      <c r="X52" s="204">
        <f>'Politika 3'!AU23</f>
        <v>0</v>
      </c>
      <c r="Y52" s="204">
        <f>'Politika 3'!AV23</f>
        <v>0</v>
      </c>
      <c r="Z52" s="204">
        <f>'Politika 3'!AW23</f>
        <v>0</v>
      </c>
    </row>
    <row r="53" spans="1:26" s="4" customFormat="1" ht="37.5" customHeight="1" x14ac:dyDescent="0.2">
      <c r="A53" s="8"/>
      <c r="B53" s="23" t="str">
        <f>'Politika 3'!B24</f>
        <v>f) Pilotimi i transformimit të IPSH-ve në shërbime të reja në Korçë dhe Vlorë</v>
      </c>
      <c r="C53" s="29" t="s">
        <v>84</v>
      </c>
      <c r="D53" s="29" t="s">
        <v>97</v>
      </c>
      <c r="E53" s="29" t="s">
        <v>85</v>
      </c>
      <c r="F53" s="187" t="s">
        <v>106</v>
      </c>
      <c r="G53" s="348"/>
      <c r="H53" s="209">
        <f>'Politika 3'!J24</f>
        <v>260</v>
      </c>
      <c r="I53" s="209">
        <f>'Politika 3'!K24</f>
        <v>0</v>
      </c>
      <c r="J53" s="209">
        <f>'Politika 3'!L24</f>
        <v>260</v>
      </c>
      <c r="K53" s="209">
        <f>'Politika 3'!M24</f>
        <v>0</v>
      </c>
      <c r="L53" s="204">
        <f>'Politika 3'!U24</f>
        <v>130</v>
      </c>
      <c r="M53" s="204">
        <f>'Politika 3'!V24</f>
        <v>0</v>
      </c>
      <c r="N53" s="204">
        <f>'Politika 3'!W24</f>
        <v>0</v>
      </c>
      <c r="O53" s="204">
        <f>'Politika 3'!X24</f>
        <v>130</v>
      </c>
      <c r="P53" s="204">
        <f>'Politika 3'!Y24</f>
        <v>0</v>
      </c>
      <c r="Q53" s="204">
        <f>'Politika 3'!AG24</f>
        <v>130</v>
      </c>
      <c r="R53" s="204">
        <f>'Politika 3'!AH24</f>
        <v>0</v>
      </c>
      <c r="S53" s="204">
        <f>'Politika 3'!AI24</f>
        <v>0</v>
      </c>
      <c r="T53" s="204">
        <f>'Politika 3'!AJ24</f>
        <v>130</v>
      </c>
      <c r="U53" s="204">
        <f>'Politika 3'!AK24</f>
        <v>0</v>
      </c>
      <c r="V53" s="204">
        <f>'Politika 3'!AS24</f>
        <v>0</v>
      </c>
      <c r="W53" s="204">
        <f>'Politika 3'!AT24</f>
        <v>0</v>
      </c>
      <c r="X53" s="204">
        <f>'Politika 3'!AU24</f>
        <v>0</v>
      </c>
      <c r="Y53" s="204">
        <f>'Politika 3'!AV24</f>
        <v>0</v>
      </c>
      <c r="Z53" s="204">
        <f>'Politika 3'!AW24</f>
        <v>0</v>
      </c>
    </row>
    <row r="54" spans="1:26" s="92" customFormat="1" ht="63.75" customHeight="1" x14ac:dyDescent="0.15">
      <c r="A54" s="145"/>
      <c r="B54" s="155" t="s">
        <v>439</v>
      </c>
      <c r="C54" s="90"/>
      <c r="D54" s="51"/>
      <c r="E54" s="22"/>
      <c r="F54" s="193"/>
      <c r="G54" s="270" t="s">
        <v>328</v>
      </c>
      <c r="H54" s="211">
        <f>SUM(H55:H58)</f>
        <v>3573</v>
      </c>
      <c r="I54" s="211">
        <f t="shared" ref="I54:K54" si="48">SUM(I55:I58)</f>
        <v>2806</v>
      </c>
      <c r="J54" s="211">
        <f t="shared" si="48"/>
        <v>767</v>
      </c>
      <c r="K54" s="211">
        <f t="shared" si="48"/>
        <v>0</v>
      </c>
      <c r="L54" s="211">
        <f t="shared" ref="L54" si="49">SUM(L55:L58)</f>
        <v>1278</v>
      </c>
      <c r="M54" s="211">
        <f t="shared" ref="M54" si="50">SUM(M55:M58)</f>
        <v>771</v>
      </c>
      <c r="N54" s="211">
        <f t="shared" ref="N54" si="51">SUM(N55:N58)</f>
        <v>0</v>
      </c>
      <c r="O54" s="211">
        <f t="shared" ref="O54" si="52">SUM(O55:O58)</f>
        <v>507</v>
      </c>
      <c r="P54" s="211">
        <f t="shared" ref="P54" si="53">SUM(P55:P58)</f>
        <v>0</v>
      </c>
      <c r="Q54" s="211">
        <f t="shared" ref="Q54" si="54">SUM(Q55:Q58)</f>
        <v>1147</v>
      </c>
      <c r="R54" s="211">
        <f t="shared" ref="R54" si="55">SUM(R55:R58)</f>
        <v>1017</v>
      </c>
      <c r="S54" s="211">
        <f t="shared" ref="S54" si="56">SUM(S55:S58)</f>
        <v>0</v>
      </c>
      <c r="T54" s="211">
        <f t="shared" ref="T54" si="57">SUM(T55:T58)</f>
        <v>130</v>
      </c>
      <c r="U54" s="211">
        <f t="shared" ref="U54" si="58">SUM(U55:U58)</f>
        <v>0</v>
      </c>
      <c r="V54" s="211">
        <f t="shared" ref="V54:W54" si="59">SUM(V55:V58)</f>
        <v>1148</v>
      </c>
      <c r="W54" s="211">
        <f t="shared" si="59"/>
        <v>1018</v>
      </c>
      <c r="X54" s="211">
        <f t="shared" ref="X54" si="60">SUM(X55:X58)</f>
        <v>0</v>
      </c>
      <c r="Y54" s="211">
        <f t="shared" ref="Y54" si="61">SUM(Y55:Y58)</f>
        <v>130</v>
      </c>
      <c r="Z54" s="211">
        <f t="shared" ref="Z54" si="62">SUM(Z55:Z58)</f>
        <v>0</v>
      </c>
    </row>
    <row r="55" spans="1:26" s="3" customFormat="1" ht="53.25" customHeight="1" x14ac:dyDescent="0.2">
      <c r="A55" s="8"/>
      <c r="B55" s="20" t="str">
        <f>'Politika 3'!B26</f>
        <v>a) Modelimi,  kostimi dhe pilotimi i përqasjes për fuqizimin e familjes dhe ribashkimit me familjen biologjike, duke siguruar interesin më të lartë të fëmijës, në bashkëpunim më fëmijën, familjen dhe institucionet përgjegjëse.</v>
      </c>
      <c r="C55" s="29" t="s">
        <v>84</v>
      </c>
      <c r="D55" s="13" t="s">
        <v>81</v>
      </c>
      <c r="E55" s="6" t="s">
        <v>9</v>
      </c>
      <c r="F55" s="194" t="s">
        <v>85</v>
      </c>
      <c r="G55" s="350"/>
      <c r="H55" s="209">
        <f>'Politika 3'!J26</f>
        <v>260</v>
      </c>
      <c r="I55" s="209">
        <f>'Politika 3'!K26</f>
        <v>0</v>
      </c>
      <c r="J55" s="209">
        <f>'Politika 3'!L26</f>
        <v>260</v>
      </c>
      <c r="K55" s="209">
        <f>'Politika 3'!M26</f>
        <v>0</v>
      </c>
      <c r="L55" s="204">
        <f>'Politika 3'!U26</f>
        <v>260</v>
      </c>
      <c r="M55" s="204">
        <f>'Politika 3'!V26</f>
        <v>0</v>
      </c>
      <c r="N55" s="204">
        <f>'Politika 3'!W26</f>
        <v>0</v>
      </c>
      <c r="O55" s="204">
        <f>'Politika 3'!X26</f>
        <v>260</v>
      </c>
      <c r="P55" s="204">
        <f>'Politika 3'!Y26</f>
        <v>0</v>
      </c>
      <c r="Q55" s="204">
        <f>'Politika 3'!AG26</f>
        <v>0</v>
      </c>
      <c r="R55" s="204">
        <f>'Politika 3'!AH26</f>
        <v>0</v>
      </c>
      <c r="S55" s="204">
        <f>'Politika 3'!AI26</f>
        <v>0</v>
      </c>
      <c r="T55" s="204">
        <f>'Politika 3'!AJ26</f>
        <v>0</v>
      </c>
      <c r="U55" s="204">
        <f>'Politika 3'!AK26</f>
        <v>0</v>
      </c>
      <c r="V55" s="204">
        <f>'Politika 3'!AS26</f>
        <v>0</v>
      </c>
      <c r="W55" s="204">
        <f>'Politika 3'!AT26</f>
        <v>0</v>
      </c>
      <c r="X55" s="204">
        <f>'Politika 3'!AU26</f>
        <v>0</v>
      </c>
      <c r="Y55" s="204">
        <f>'Politika 3'!AV26</f>
        <v>0</v>
      </c>
      <c r="Z55" s="204">
        <f>'Politika 3'!AW26</f>
        <v>0</v>
      </c>
    </row>
    <row r="56" spans="1:26" s="3" customFormat="1" ht="44.25" customHeight="1" x14ac:dyDescent="0.2">
      <c r="A56" s="8"/>
      <c r="B56" s="20" t="str">
        <f>'Politika 3'!B27</f>
        <v>b) Modelimi,  kostimi dhe pilotim i ngritjes së shërbimeve multidisiplinare për mbështetjen e familjeve në IPSH-të që do të transformohen në fazën e pilotimit për të ofruar mbështetje komplekse për familjet.</v>
      </c>
      <c r="C56" s="29" t="s">
        <v>84</v>
      </c>
      <c r="D56" s="52" t="s">
        <v>88</v>
      </c>
      <c r="E56" s="6" t="s">
        <v>21</v>
      </c>
      <c r="F56" s="194" t="s">
        <v>10</v>
      </c>
      <c r="G56" s="194"/>
      <c r="H56" s="209">
        <f>'Politika 3'!J27</f>
        <v>117</v>
      </c>
      <c r="I56" s="209">
        <f>'Politika 3'!K27</f>
        <v>0</v>
      </c>
      <c r="J56" s="209">
        <f>'Politika 3'!L27</f>
        <v>117</v>
      </c>
      <c r="K56" s="209">
        <f>'Politika 3'!M27</f>
        <v>0</v>
      </c>
      <c r="L56" s="204">
        <f>'Politika 3'!U27</f>
        <v>117</v>
      </c>
      <c r="M56" s="204">
        <f>'Politika 3'!V27</f>
        <v>0</v>
      </c>
      <c r="N56" s="204">
        <f>'Politika 3'!W27</f>
        <v>0</v>
      </c>
      <c r="O56" s="204">
        <f>'Politika 3'!X27</f>
        <v>117</v>
      </c>
      <c r="P56" s="204">
        <f>'Politika 3'!Y27</f>
        <v>0</v>
      </c>
      <c r="Q56" s="204">
        <f>'Politika 3'!AG27</f>
        <v>0</v>
      </c>
      <c r="R56" s="204">
        <f>'Politika 3'!AH27</f>
        <v>0</v>
      </c>
      <c r="S56" s="204">
        <f>'Politika 3'!AI27</f>
        <v>0</v>
      </c>
      <c r="T56" s="204">
        <f>'Politika 3'!AJ27</f>
        <v>0</v>
      </c>
      <c r="U56" s="204">
        <f>'Politika 3'!AK27</f>
        <v>0</v>
      </c>
      <c r="V56" s="204">
        <f>'Politika 3'!AS27</f>
        <v>0</v>
      </c>
      <c r="W56" s="204">
        <f>'Politika 3'!AT27</f>
        <v>0</v>
      </c>
      <c r="X56" s="204">
        <f>'Politika 3'!AU27</f>
        <v>0</v>
      </c>
      <c r="Y56" s="204">
        <f>'Politika 3'!AV27</f>
        <v>0</v>
      </c>
      <c r="Z56" s="204">
        <f>'Politika 3'!AW27</f>
        <v>0</v>
      </c>
    </row>
    <row r="57" spans="1:26" s="3" customFormat="1" ht="49.5" customHeight="1" x14ac:dyDescent="0.2">
      <c r="A57" s="8"/>
      <c r="B57" s="20" t="str">
        <f>'Politika 3'!B28</f>
        <v xml:space="preserve">c) Monitorimi i procesit të ribashkimit, progresit të fëmijës dhe familjes, nëpërmjet këshillimit, advokimit dhe prindërimit pozitiv. </v>
      </c>
      <c r="C57" s="29" t="s">
        <v>84</v>
      </c>
      <c r="D57" s="52" t="s">
        <v>88</v>
      </c>
      <c r="E57" s="6" t="s">
        <v>25</v>
      </c>
      <c r="F57" s="194" t="s">
        <v>108</v>
      </c>
      <c r="G57" s="187" t="s">
        <v>328</v>
      </c>
      <c r="H57" s="209">
        <f>'Politika 3'!J28</f>
        <v>2806</v>
      </c>
      <c r="I57" s="209">
        <f>'Politika 3'!K28</f>
        <v>2806</v>
      </c>
      <c r="J57" s="209">
        <f>'Politika 3'!L28</f>
        <v>0</v>
      </c>
      <c r="K57" s="209">
        <f>'Politika 3'!M28</f>
        <v>0</v>
      </c>
      <c r="L57" s="204">
        <f>'Politika 3'!U28</f>
        <v>771</v>
      </c>
      <c r="M57" s="204">
        <f>'Politika 3'!V28</f>
        <v>771</v>
      </c>
      <c r="N57" s="204">
        <f>'Politika 3'!W28</f>
        <v>0</v>
      </c>
      <c r="O57" s="204">
        <f>'Politika 3'!X28</f>
        <v>0</v>
      </c>
      <c r="P57" s="204">
        <f>'Politika 3'!Y28</f>
        <v>0</v>
      </c>
      <c r="Q57" s="204">
        <f>'Politika 3'!AG28</f>
        <v>1017</v>
      </c>
      <c r="R57" s="204">
        <f>'Politika 3'!AH28</f>
        <v>1017</v>
      </c>
      <c r="S57" s="204">
        <f>'Politika 3'!AI28</f>
        <v>0</v>
      </c>
      <c r="T57" s="204">
        <f>'Politika 3'!AJ28</f>
        <v>0</v>
      </c>
      <c r="U57" s="204">
        <f>'Politika 3'!AK28</f>
        <v>0</v>
      </c>
      <c r="V57" s="204">
        <f>'Politika 3'!AS28</f>
        <v>1018</v>
      </c>
      <c r="W57" s="204">
        <f>'Politika 3'!AT28</f>
        <v>1018</v>
      </c>
      <c r="X57" s="204">
        <f>'Politika 3'!AU28</f>
        <v>0</v>
      </c>
      <c r="Y57" s="204">
        <f>'Politika 3'!AV28</f>
        <v>0</v>
      </c>
      <c r="Z57" s="204">
        <f>'Politika 3'!AW28</f>
        <v>0</v>
      </c>
    </row>
    <row r="58" spans="1:26" s="3" customFormat="1" ht="39.75" customHeight="1" x14ac:dyDescent="0.2">
      <c r="A58" s="8"/>
      <c r="B58" s="20" t="str">
        <f>'Politika 3'!B29</f>
        <v xml:space="preserve">d) Analiza e praktikave, mësimeve të nxjerra, për të informuar poltikat vendore dhe qendrore, dhe fuqizimin e familjeve për përkujdesin ndaj fëmijës. </v>
      </c>
      <c r="C58" s="29" t="s">
        <v>84</v>
      </c>
      <c r="D58" s="52" t="s">
        <v>88</v>
      </c>
      <c r="E58" s="6" t="s">
        <v>117</v>
      </c>
      <c r="F58" s="194" t="s">
        <v>104</v>
      </c>
      <c r="G58" s="194"/>
      <c r="H58" s="209">
        <f>'Politika 3'!J29</f>
        <v>390</v>
      </c>
      <c r="I58" s="209">
        <f>'Politika 3'!K29</f>
        <v>0</v>
      </c>
      <c r="J58" s="209">
        <f>'Politika 3'!L29</f>
        <v>390</v>
      </c>
      <c r="K58" s="209">
        <f>'Politika 3'!M29</f>
        <v>0</v>
      </c>
      <c r="L58" s="204">
        <f>'Politika 3'!U29</f>
        <v>130</v>
      </c>
      <c r="M58" s="204">
        <f>'Politika 3'!V29</f>
        <v>0</v>
      </c>
      <c r="N58" s="204">
        <f>'Politika 3'!W29</f>
        <v>0</v>
      </c>
      <c r="O58" s="204">
        <f>'Politika 3'!X29</f>
        <v>130</v>
      </c>
      <c r="P58" s="204">
        <f>'Politika 3'!Y29</f>
        <v>0</v>
      </c>
      <c r="Q58" s="204">
        <f>'Politika 3'!AG29</f>
        <v>130</v>
      </c>
      <c r="R58" s="204">
        <f>'Politika 3'!AH29</f>
        <v>0</v>
      </c>
      <c r="S58" s="204">
        <f>'Politika 3'!AI29</f>
        <v>0</v>
      </c>
      <c r="T58" s="204">
        <f>'Politika 3'!AJ29</f>
        <v>130</v>
      </c>
      <c r="U58" s="204">
        <f>'Politika 3'!AK29</f>
        <v>0</v>
      </c>
      <c r="V58" s="204">
        <f>'Politika 3'!AS29</f>
        <v>130</v>
      </c>
      <c r="W58" s="204">
        <f>'Politika 3'!AT29</f>
        <v>0</v>
      </c>
      <c r="X58" s="204">
        <f>'Politika 3'!AU29</f>
        <v>0</v>
      </c>
      <c r="Y58" s="204">
        <f>'Politika 3'!AV29</f>
        <v>130</v>
      </c>
      <c r="Z58" s="204">
        <f>'Politika 3'!AW29</f>
        <v>0</v>
      </c>
    </row>
    <row r="59" spans="1:26" s="3" customFormat="1" ht="52.5" customHeight="1" x14ac:dyDescent="0.2">
      <c r="A59" s="145"/>
      <c r="B59" s="155" t="s">
        <v>360</v>
      </c>
      <c r="C59" s="29" t="s">
        <v>84</v>
      </c>
      <c r="D59" s="52" t="s">
        <v>88</v>
      </c>
      <c r="E59" s="6" t="s">
        <v>117</v>
      </c>
      <c r="F59" s="194" t="s">
        <v>12</v>
      </c>
      <c r="G59" s="270" t="s">
        <v>460</v>
      </c>
      <c r="H59" s="211">
        <f>SUM(H60:H71)</f>
        <v>8717</v>
      </c>
      <c r="I59" s="211">
        <f t="shared" ref="I59:Z59" si="63">SUM(I60:I71)</f>
        <v>7277</v>
      </c>
      <c r="J59" s="211">
        <f t="shared" si="63"/>
        <v>1440</v>
      </c>
      <c r="K59" s="211">
        <f t="shared" si="63"/>
        <v>0</v>
      </c>
      <c r="L59" s="211">
        <f t="shared" si="63"/>
        <v>3479</v>
      </c>
      <c r="M59" s="211">
        <f t="shared" si="63"/>
        <v>2559</v>
      </c>
      <c r="N59" s="211">
        <f t="shared" si="63"/>
        <v>0</v>
      </c>
      <c r="O59" s="211">
        <f t="shared" si="63"/>
        <v>920</v>
      </c>
      <c r="P59" s="211">
        <f t="shared" si="63"/>
        <v>0</v>
      </c>
      <c r="Q59" s="211">
        <f t="shared" si="63"/>
        <v>2879</v>
      </c>
      <c r="R59" s="211">
        <f t="shared" si="63"/>
        <v>2359</v>
      </c>
      <c r="S59" s="211">
        <f t="shared" si="63"/>
        <v>0</v>
      </c>
      <c r="T59" s="211">
        <f t="shared" si="63"/>
        <v>520</v>
      </c>
      <c r="U59" s="211">
        <f t="shared" si="63"/>
        <v>0</v>
      </c>
      <c r="V59" s="211">
        <f t="shared" si="63"/>
        <v>2359</v>
      </c>
      <c r="W59" s="211">
        <f t="shared" si="63"/>
        <v>2359</v>
      </c>
      <c r="X59" s="211">
        <f t="shared" si="63"/>
        <v>0</v>
      </c>
      <c r="Y59" s="211">
        <f t="shared" si="63"/>
        <v>0</v>
      </c>
      <c r="Z59" s="211">
        <f t="shared" si="63"/>
        <v>0</v>
      </c>
    </row>
    <row r="60" spans="1:26" ht="30" customHeight="1" x14ac:dyDescent="0.15">
      <c r="A60" s="8"/>
      <c r="B60" s="102" t="str">
        <f>'Politika 3'!B31</f>
        <v>a) Modelimi, kostimi i shërbimit të jetesës gjysëm të pavarur dhe të pavarur (përfshirë kosto, modalitete, praktika dhe udhëzues)</v>
      </c>
      <c r="C60" s="48"/>
      <c r="D60" s="48"/>
      <c r="E60" s="48"/>
      <c r="F60" s="188"/>
      <c r="G60" s="189" t="s">
        <v>456</v>
      </c>
      <c r="H60" s="209">
        <f>'Politika 3'!J31</f>
        <v>520</v>
      </c>
      <c r="I60" s="209">
        <f>'Politika 3'!K31</f>
        <v>0</v>
      </c>
      <c r="J60" s="209">
        <f>'Politika 3'!L31</f>
        <v>520</v>
      </c>
      <c r="K60" s="209">
        <f>'Politika 3'!M31</f>
        <v>0</v>
      </c>
      <c r="L60" s="204">
        <f>'Politika 3'!U31</f>
        <v>260</v>
      </c>
      <c r="M60" s="204">
        <f>'Politika 3'!V31</f>
        <v>0</v>
      </c>
      <c r="N60" s="204">
        <f>'Politika 3'!W31</f>
        <v>0</v>
      </c>
      <c r="O60" s="204">
        <f>'Politika 3'!X31</f>
        <v>260</v>
      </c>
      <c r="P60" s="204">
        <f>'Politika 3'!Y31</f>
        <v>0</v>
      </c>
      <c r="Q60" s="204">
        <f>'Politika 3'!AG31</f>
        <v>260</v>
      </c>
      <c r="R60" s="204">
        <f>'Politika 3'!AH31</f>
        <v>0</v>
      </c>
      <c r="S60" s="204">
        <f>'Politika 3'!AI31</f>
        <v>0</v>
      </c>
      <c r="T60" s="204">
        <f>'Politika 3'!AJ31</f>
        <v>260</v>
      </c>
      <c r="U60" s="204">
        <f>'Politika 3'!AK31</f>
        <v>0</v>
      </c>
      <c r="V60" s="204">
        <f>'Politika 3'!AS31</f>
        <v>0</v>
      </c>
      <c r="W60" s="204">
        <f>'Politika 3'!AT31</f>
        <v>0</v>
      </c>
      <c r="X60" s="204">
        <f>'Politika 3'!AU31</f>
        <v>0</v>
      </c>
      <c r="Y60" s="204">
        <f>'Politika 3'!AV31</f>
        <v>0</v>
      </c>
      <c r="Z60" s="204">
        <f>'Politika 3'!AW31</f>
        <v>0</v>
      </c>
    </row>
    <row r="61" spans="1:26" s="132" customFormat="1" ht="32.25" customHeight="1" x14ac:dyDescent="0.15">
      <c r="A61" s="8"/>
      <c r="B61" s="102" t="str">
        <f>'Politika 3'!B32</f>
        <v>b) Konsultimi i modelit të shërbimit me organizata të mundshme dhe bashki të mundshme (psh. Tiranë, Saranda, Shkodër).</v>
      </c>
      <c r="C61" s="29"/>
      <c r="D61" s="29"/>
      <c r="E61" s="29"/>
      <c r="F61" s="187"/>
      <c r="G61" s="347"/>
      <c r="H61" s="209">
        <f>'Politika 3'!J32</f>
        <v>200</v>
      </c>
      <c r="I61" s="209">
        <f>'Politika 3'!K32</f>
        <v>200</v>
      </c>
      <c r="J61" s="209">
        <f>'Politika 3'!L32</f>
        <v>0</v>
      </c>
      <c r="K61" s="209">
        <f>'Politika 3'!M32</f>
        <v>0</v>
      </c>
      <c r="L61" s="204">
        <f>'Politika 3'!U32</f>
        <v>200</v>
      </c>
      <c r="M61" s="204">
        <f>'Politika 3'!V32</f>
        <v>200</v>
      </c>
      <c r="N61" s="204">
        <f>'Politika 3'!W32</f>
        <v>0</v>
      </c>
      <c r="O61" s="204">
        <f>'Politika 3'!X32</f>
        <v>0</v>
      </c>
      <c r="P61" s="204">
        <f>'Politika 3'!Y32</f>
        <v>0</v>
      </c>
      <c r="Q61" s="204">
        <f>'Politika 3'!AG32</f>
        <v>0</v>
      </c>
      <c r="R61" s="204">
        <f>'Politika 3'!AH32</f>
        <v>0</v>
      </c>
      <c r="S61" s="204">
        <f>'Politika 3'!AI32</f>
        <v>0</v>
      </c>
      <c r="T61" s="204">
        <f>'Politika 3'!AJ32</f>
        <v>0</v>
      </c>
      <c r="U61" s="204">
        <f>'Politika 3'!AK32</f>
        <v>0</v>
      </c>
      <c r="V61" s="204">
        <f>'Politika 3'!AS32</f>
        <v>0</v>
      </c>
      <c r="W61" s="204">
        <f>'Politika 3'!AT32</f>
        <v>0</v>
      </c>
      <c r="X61" s="204">
        <f>'Politika 3'!AU32</f>
        <v>0</v>
      </c>
      <c r="Y61" s="204">
        <f>'Politika 3'!AV32</f>
        <v>0</v>
      </c>
      <c r="Z61" s="204">
        <f>'Politika 3'!AW32</f>
        <v>0</v>
      </c>
    </row>
    <row r="62" spans="1:26" s="4" customFormat="1" ht="24" customHeight="1" x14ac:dyDescent="0.2">
      <c r="A62" s="8"/>
      <c r="B62" s="102" t="str">
        <f>'Politika 3'!B33</f>
        <v xml:space="preserve">c)  Hartimi i programit (për mbështetjen financiare, strehimi, punësim, arsim  dhe mbështetja me ekip profesionistësh) për të rinjtët që dalin nga IPSH-të </v>
      </c>
      <c r="C62" s="29" t="s">
        <v>84</v>
      </c>
      <c r="D62" s="29" t="s">
        <v>97</v>
      </c>
      <c r="E62" s="29" t="s">
        <v>9</v>
      </c>
      <c r="F62" s="187" t="s">
        <v>14</v>
      </c>
      <c r="G62" s="187"/>
      <c r="H62" s="209">
        <f>'Politika 3'!J33</f>
        <v>200</v>
      </c>
      <c r="I62" s="209">
        <f>'Politika 3'!K33</f>
        <v>0</v>
      </c>
      <c r="J62" s="209">
        <f>'Politika 3'!L33</f>
        <v>200</v>
      </c>
      <c r="K62" s="209">
        <f>'Politika 3'!M33</f>
        <v>0</v>
      </c>
      <c r="L62" s="204">
        <f>'Politika 3'!U33</f>
        <v>200</v>
      </c>
      <c r="M62" s="204">
        <f>'Politika 3'!V33</f>
        <v>0</v>
      </c>
      <c r="N62" s="204">
        <f>'Politika 3'!W33</f>
        <v>0</v>
      </c>
      <c r="O62" s="204">
        <f>'Politika 3'!X33</f>
        <v>200</v>
      </c>
      <c r="P62" s="204">
        <f>'Politika 3'!Y33</f>
        <v>0</v>
      </c>
      <c r="Q62" s="204">
        <f>'Politika 3'!AG33</f>
        <v>0</v>
      </c>
      <c r="R62" s="204">
        <f>'Politika 3'!AH33</f>
        <v>0</v>
      </c>
      <c r="S62" s="204">
        <f>'Politika 3'!AI33</f>
        <v>0</v>
      </c>
      <c r="T62" s="204">
        <f>'Politika 3'!AJ33</f>
        <v>0</v>
      </c>
      <c r="U62" s="204">
        <f>'Politika 3'!AK33</f>
        <v>0</v>
      </c>
      <c r="V62" s="204">
        <f>'Politika 3'!AS33</f>
        <v>0</v>
      </c>
      <c r="W62" s="204">
        <f>'Politika 3'!AT33</f>
        <v>0</v>
      </c>
      <c r="X62" s="204">
        <f>'Politika 3'!AU33</f>
        <v>0</v>
      </c>
      <c r="Y62" s="204">
        <f>'Politika 3'!AV33</f>
        <v>0</v>
      </c>
      <c r="Z62" s="204">
        <f>'Politika 3'!AW33</f>
        <v>0</v>
      </c>
    </row>
    <row r="63" spans="1:26" s="4" customFormat="1" ht="22.5" customHeight="1" x14ac:dyDescent="0.2">
      <c r="A63" s="8"/>
      <c r="B63" s="102" t="str">
        <f>'Politika 3'!B34</f>
        <v xml:space="preserve">d) Ngritja dhe pilotimi i shërbimit të jetesës gjysëm të pavarur  për fëmijët e rritur (14- 18 vjeç)  </v>
      </c>
      <c r="C63" s="29" t="s">
        <v>84</v>
      </c>
      <c r="D63" s="29" t="s">
        <v>97</v>
      </c>
      <c r="E63" s="29" t="s">
        <v>82</v>
      </c>
      <c r="F63" s="187" t="s">
        <v>109</v>
      </c>
      <c r="G63" s="187"/>
      <c r="H63" s="209">
        <f>'Politika 3'!J34</f>
        <v>200</v>
      </c>
      <c r="I63" s="209">
        <f>'Politika 3'!K34</f>
        <v>0</v>
      </c>
      <c r="J63" s="209">
        <f>'Politika 3'!L34</f>
        <v>200</v>
      </c>
      <c r="K63" s="209">
        <f>'Politika 3'!M34</f>
        <v>0</v>
      </c>
      <c r="L63" s="204">
        <f>'Politika 3'!U34</f>
        <v>200</v>
      </c>
      <c r="M63" s="204">
        <f>'Politika 3'!V34</f>
        <v>0</v>
      </c>
      <c r="N63" s="204">
        <f>'Politika 3'!W34</f>
        <v>0</v>
      </c>
      <c r="O63" s="204">
        <f>'Politika 3'!X34</f>
        <v>200</v>
      </c>
      <c r="P63" s="204">
        <f>'Politika 3'!Y34</f>
        <v>0</v>
      </c>
      <c r="Q63" s="204">
        <f>'Politika 3'!AG34</f>
        <v>0</v>
      </c>
      <c r="R63" s="204">
        <f>'Politika 3'!AH34</f>
        <v>0</v>
      </c>
      <c r="S63" s="204">
        <f>'Politika 3'!AI34</f>
        <v>0</v>
      </c>
      <c r="T63" s="204">
        <f>'Politika 3'!AJ34</f>
        <v>0</v>
      </c>
      <c r="U63" s="204">
        <f>'Politika 3'!AK34</f>
        <v>0</v>
      </c>
      <c r="V63" s="204">
        <f>'Politika 3'!AS34</f>
        <v>0</v>
      </c>
      <c r="W63" s="204">
        <f>'Politika 3'!AT34</f>
        <v>0</v>
      </c>
      <c r="X63" s="204">
        <f>'Politika 3'!AU34</f>
        <v>0</v>
      </c>
      <c r="Y63" s="204">
        <f>'Politika 3'!AV34</f>
        <v>0</v>
      </c>
      <c r="Z63" s="204">
        <f>'Politika 3'!AW34</f>
        <v>0</v>
      </c>
    </row>
    <row r="64" spans="1:26" s="4" customFormat="1" ht="52.5" customHeight="1" x14ac:dyDescent="0.2">
      <c r="A64" s="8"/>
      <c r="B64" s="102" t="str">
        <f>'Politika 3'!B35</f>
        <v>e) Realizimi i vlerësimeve individuale për çdo fëmijë dhe familjet e tyre dhe analizimi i mundësisë së jetesës gjysëm të pavarur ose të pavarur përmes një programi mbështetës fuqizimi.</v>
      </c>
      <c r="C64" s="29" t="s">
        <v>84</v>
      </c>
      <c r="D64" s="29" t="s">
        <v>97</v>
      </c>
      <c r="E64" s="29" t="s">
        <v>9</v>
      </c>
      <c r="F64" s="187" t="s">
        <v>14</v>
      </c>
      <c r="G64" s="187" t="s">
        <v>328</v>
      </c>
      <c r="H64" s="209">
        <f>'Politika 3'!J35</f>
        <v>2514</v>
      </c>
      <c r="I64" s="209">
        <f>'Politika 3'!K35</f>
        <v>2514</v>
      </c>
      <c r="J64" s="209">
        <f>'Politika 3'!L35</f>
        <v>0</v>
      </c>
      <c r="K64" s="209">
        <f>'Politika 3'!M35</f>
        <v>0</v>
      </c>
      <c r="L64" s="204">
        <f>'Politika 3'!U35</f>
        <v>838</v>
      </c>
      <c r="M64" s="204">
        <f>'Politika 3'!V35</f>
        <v>838</v>
      </c>
      <c r="N64" s="204">
        <f>'Politika 3'!W35</f>
        <v>0</v>
      </c>
      <c r="O64" s="204">
        <f>'Politika 3'!X35</f>
        <v>0</v>
      </c>
      <c r="P64" s="204">
        <f>'Politika 3'!Y35</f>
        <v>0</v>
      </c>
      <c r="Q64" s="204">
        <f>'Politika 3'!AG35</f>
        <v>838</v>
      </c>
      <c r="R64" s="204">
        <f>'Politika 3'!AH35</f>
        <v>838</v>
      </c>
      <c r="S64" s="204">
        <f>'Politika 3'!AI35</f>
        <v>0</v>
      </c>
      <c r="T64" s="204">
        <f>'Politika 3'!AJ35</f>
        <v>0</v>
      </c>
      <c r="U64" s="204">
        <f>'Politika 3'!AK35</f>
        <v>0</v>
      </c>
      <c r="V64" s="204">
        <f>'Politika 3'!AS35</f>
        <v>838</v>
      </c>
      <c r="W64" s="204">
        <f>'Politika 3'!AT35</f>
        <v>838</v>
      </c>
      <c r="X64" s="204">
        <f>'Politika 3'!AU35</f>
        <v>0</v>
      </c>
      <c r="Y64" s="204">
        <f>'Politika 3'!AV35</f>
        <v>0</v>
      </c>
      <c r="Z64" s="204">
        <f>'Politika 3'!AW35</f>
        <v>0</v>
      </c>
    </row>
    <row r="65" spans="1:26" s="4" customFormat="1" ht="58.5" customHeight="1" x14ac:dyDescent="0.2">
      <c r="A65" s="8"/>
      <c r="B65" s="102" t="str">
        <f>'Politika 3'!B36</f>
        <v>f) Hartimi i planeve individuale të zhvillimit dhe përkujdesit, të kostuara, përfshirë mundësitë e ribashkimit me familjen biologjike, për fëmijët dhe të rinjtë në jetesë gjysëm të pavarur dhe të pavarur.</v>
      </c>
      <c r="C65" s="29" t="s">
        <v>84</v>
      </c>
      <c r="D65" s="29" t="s">
        <v>97</v>
      </c>
      <c r="E65" s="29" t="s">
        <v>14</v>
      </c>
      <c r="F65" s="187" t="s">
        <v>104</v>
      </c>
      <c r="G65" s="187" t="s">
        <v>328</v>
      </c>
      <c r="H65" s="209">
        <f>'Politika 3'!J36</f>
        <v>1860</v>
      </c>
      <c r="I65" s="209">
        <f>'Politika 3'!K36</f>
        <v>1860</v>
      </c>
      <c r="J65" s="209">
        <f>'Politika 3'!L36</f>
        <v>0</v>
      </c>
      <c r="K65" s="209">
        <f>'Politika 3'!M36</f>
        <v>0</v>
      </c>
      <c r="L65" s="204">
        <f>'Politika 3'!U36</f>
        <v>620</v>
      </c>
      <c r="M65" s="204">
        <f>'Politika 3'!V36</f>
        <v>620</v>
      </c>
      <c r="N65" s="204">
        <f>'Politika 3'!W36</f>
        <v>0</v>
      </c>
      <c r="O65" s="204">
        <f>'Politika 3'!X36</f>
        <v>0</v>
      </c>
      <c r="P65" s="204">
        <f>'Politika 3'!Y36</f>
        <v>0</v>
      </c>
      <c r="Q65" s="204">
        <f>'Politika 3'!AG36</f>
        <v>620</v>
      </c>
      <c r="R65" s="204">
        <f>'Politika 3'!AH36</f>
        <v>620</v>
      </c>
      <c r="S65" s="204">
        <f>'Politika 3'!AI36</f>
        <v>0</v>
      </c>
      <c r="T65" s="204">
        <f>'Politika 3'!AJ36</f>
        <v>0</v>
      </c>
      <c r="U65" s="204">
        <f>'Politika 3'!AK36</f>
        <v>0</v>
      </c>
      <c r="V65" s="204">
        <f>'Politika 3'!AS36</f>
        <v>620</v>
      </c>
      <c r="W65" s="204">
        <f>'Politika 3'!AT36</f>
        <v>620</v>
      </c>
      <c r="X65" s="204">
        <f>'Politika 3'!AU36</f>
        <v>0</v>
      </c>
      <c r="Y65" s="204">
        <f>'Politika 3'!AV36</f>
        <v>0</v>
      </c>
      <c r="Z65" s="204">
        <f>'Politika 3'!AW36</f>
        <v>0</v>
      </c>
    </row>
    <row r="66" spans="1:26" s="4" customFormat="1" ht="39.75" customHeight="1" x14ac:dyDescent="0.2">
      <c r="A66" s="29"/>
      <c r="B66" s="102" t="str">
        <f>'Politika 3'!B37</f>
        <v>g) Mbështetje, nëpërmjet monitorimit të vazhdueshëm të planeve individuale zhvillimit dhe të përkujdesit dhe largimit të fëmijëve në kujdes gjysëm të pavaur dhe të pavaru për gjithë secilin fëmijë të vlerësuar.</v>
      </c>
      <c r="C66" s="29" t="s">
        <v>84</v>
      </c>
      <c r="D66" s="29" t="s">
        <v>97</v>
      </c>
      <c r="E66" s="29" t="s">
        <v>9</v>
      </c>
      <c r="F66" s="187" t="s">
        <v>104</v>
      </c>
      <c r="G66" s="187"/>
      <c r="H66" s="209">
        <f>'Politika 3'!J37</f>
        <v>984</v>
      </c>
      <c r="I66" s="209">
        <f>'Politika 3'!K37</f>
        <v>984</v>
      </c>
      <c r="J66" s="209">
        <f>'Politika 3'!L37</f>
        <v>0</v>
      </c>
      <c r="K66" s="209">
        <f>'Politika 3'!M37</f>
        <v>0</v>
      </c>
      <c r="L66" s="204">
        <f>'Politika 3'!U37</f>
        <v>328</v>
      </c>
      <c r="M66" s="204">
        <f>'Politika 3'!V37</f>
        <v>328</v>
      </c>
      <c r="N66" s="204">
        <f>'Politika 3'!W37</f>
        <v>0</v>
      </c>
      <c r="O66" s="204">
        <f>'Politika 3'!X37</f>
        <v>0</v>
      </c>
      <c r="P66" s="204">
        <f>'Politika 3'!Y37</f>
        <v>0</v>
      </c>
      <c r="Q66" s="204">
        <f>'Politika 3'!AG37</f>
        <v>328</v>
      </c>
      <c r="R66" s="204">
        <f>'Politika 3'!AH37</f>
        <v>328</v>
      </c>
      <c r="S66" s="204">
        <f>'Politika 3'!AI37</f>
        <v>0</v>
      </c>
      <c r="T66" s="204">
        <f>'Politika 3'!AJ37</f>
        <v>0</v>
      </c>
      <c r="U66" s="204">
        <f>'Politika 3'!AK37</f>
        <v>0</v>
      </c>
      <c r="V66" s="204">
        <f>'Politika 3'!AS37</f>
        <v>328</v>
      </c>
      <c r="W66" s="204">
        <f>'Politika 3'!AT37</f>
        <v>328</v>
      </c>
      <c r="X66" s="204">
        <f>'Politika 3'!AU37</f>
        <v>0</v>
      </c>
      <c r="Y66" s="204">
        <f>'Politika 3'!AV37</f>
        <v>0</v>
      </c>
      <c r="Z66" s="204">
        <f>'Politika 3'!AW37</f>
        <v>0</v>
      </c>
    </row>
    <row r="67" spans="1:26" s="4" customFormat="1" ht="33.75" customHeight="1" x14ac:dyDescent="0.2">
      <c r="A67" s="8"/>
      <c r="B67" s="102" t="str">
        <f>'Politika 3'!B38</f>
        <v>i) Vlerësim i impaktit të këtij modeli, dhe mundësia për ta shtrirë në institucionet e tjera.</v>
      </c>
      <c r="C67" s="29" t="s">
        <v>84</v>
      </c>
      <c r="D67" s="29" t="s">
        <v>97</v>
      </c>
      <c r="E67" s="29" t="s">
        <v>21</v>
      </c>
      <c r="F67" s="187" t="s">
        <v>104</v>
      </c>
      <c r="G67" s="187"/>
      <c r="H67" s="209">
        <f>'Politika 3'!J38</f>
        <v>260</v>
      </c>
      <c r="I67" s="209">
        <f>'Politika 3'!K38</f>
        <v>0</v>
      </c>
      <c r="J67" s="209">
        <f>'Politika 3'!L38</f>
        <v>260</v>
      </c>
      <c r="K67" s="209">
        <f>'Politika 3'!M38</f>
        <v>0</v>
      </c>
      <c r="L67" s="204">
        <f>'Politika 3'!U38</f>
        <v>0</v>
      </c>
      <c r="M67" s="204">
        <f>'Politika 3'!V38</f>
        <v>0</v>
      </c>
      <c r="N67" s="204">
        <f>'Politika 3'!W38</f>
        <v>0</v>
      </c>
      <c r="O67" s="204">
        <f>'Politika 3'!X38</f>
        <v>0</v>
      </c>
      <c r="P67" s="204">
        <f>'Politika 3'!Y38</f>
        <v>0</v>
      </c>
      <c r="Q67" s="204">
        <f>'Politika 3'!AG38</f>
        <v>260</v>
      </c>
      <c r="R67" s="204">
        <f>'Politika 3'!AH38</f>
        <v>0</v>
      </c>
      <c r="S67" s="204">
        <f>'Politika 3'!AI38</f>
        <v>0</v>
      </c>
      <c r="T67" s="204">
        <f>'Politika 3'!AJ38</f>
        <v>260</v>
      </c>
      <c r="U67" s="204">
        <f>'Politika 3'!AK38</f>
        <v>0</v>
      </c>
      <c r="V67" s="204">
        <f>'Politika 3'!AS38</f>
        <v>0</v>
      </c>
      <c r="W67" s="204">
        <f>'Politika 3'!AT38</f>
        <v>0</v>
      </c>
      <c r="X67" s="204">
        <f>'Politika 3'!AU38</f>
        <v>0</v>
      </c>
      <c r="Y67" s="204">
        <f>'Politika 3'!AV38</f>
        <v>0</v>
      </c>
      <c r="Z67" s="204">
        <f>'Politika 3'!AW38</f>
        <v>0</v>
      </c>
    </row>
    <row r="68" spans="1:26" s="4" customFormat="1" ht="41.25" customHeight="1" x14ac:dyDescent="0.2">
      <c r="A68" s="144"/>
      <c r="B68" s="102" t="str">
        <f>'Politika 3'!B39</f>
        <v>j) Takime konsultative me drejtorët e qendrave të zhvillimit dhe OJF-të për draftimin e moduleve/kurikulave në lidhje me vetëkujdesjen dhe jetësën gjysëm të pavarur për fëmijët më aftësi të kufizuar. Ngritja e një grupi teknik të nivelit të lartë për hartimin  e moduleve/kurikulave në lidhje me jetësën e pavarur të fëmijëve me aftësi të kufizuar</v>
      </c>
      <c r="C68" s="29" t="s">
        <v>84</v>
      </c>
      <c r="D68" s="29" t="s">
        <v>97</v>
      </c>
      <c r="E68" s="29" t="s">
        <v>25</v>
      </c>
      <c r="F68" s="187" t="s">
        <v>110</v>
      </c>
      <c r="G68" s="187"/>
      <c r="H68" s="209">
        <f>'Politika 3'!J39</f>
        <v>0</v>
      </c>
      <c r="I68" s="209">
        <f>'Politika 3'!K39</f>
        <v>0</v>
      </c>
      <c r="J68" s="209">
        <f>'Politika 3'!L39</f>
        <v>0</v>
      </c>
      <c r="K68" s="209">
        <f>'Politika 3'!M39</f>
        <v>0</v>
      </c>
      <c r="L68" s="204">
        <f>'Politika 3'!U39</f>
        <v>0</v>
      </c>
      <c r="M68" s="204">
        <f>'Politika 3'!V39</f>
        <v>0</v>
      </c>
      <c r="N68" s="204">
        <f>'Politika 3'!W39</f>
        <v>0</v>
      </c>
      <c r="O68" s="204">
        <f>'Politika 3'!X39</f>
        <v>0</v>
      </c>
      <c r="P68" s="204">
        <f>'Politika 3'!Y39</f>
        <v>0</v>
      </c>
      <c r="Q68" s="204">
        <f>'Politika 3'!AG39</f>
        <v>0</v>
      </c>
      <c r="R68" s="204">
        <f>'Politika 3'!AH39</f>
        <v>0</v>
      </c>
      <c r="S68" s="204">
        <f>'Politika 3'!AI39</f>
        <v>0</v>
      </c>
      <c r="T68" s="204">
        <f>'Politika 3'!AJ39</f>
        <v>0</v>
      </c>
      <c r="U68" s="204">
        <f>'Politika 3'!AK39</f>
        <v>0</v>
      </c>
      <c r="V68" s="204">
        <f>'Politika 3'!AS39</f>
        <v>0</v>
      </c>
      <c r="W68" s="204">
        <f>'Politika 3'!AT39</f>
        <v>0</v>
      </c>
      <c r="X68" s="204">
        <f>'Politika 3'!AU39</f>
        <v>0</v>
      </c>
      <c r="Y68" s="204">
        <f>'Politika 3'!AV39</f>
        <v>0</v>
      </c>
      <c r="Z68" s="204">
        <f>'Politika 3'!AW39</f>
        <v>0</v>
      </c>
    </row>
    <row r="69" spans="1:26" s="4" customFormat="1" ht="39" customHeight="1" x14ac:dyDescent="0.2">
      <c r="A69" s="8"/>
      <c r="B69" s="102" t="str">
        <f>'Politika 3'!B40</f>
        <v>k) Vlerësimi i nevojave të personelit për të zhvilluar aftësi për të mbështetur/ndihmuar fëmijët për jetesën e pavarur dhe gjysëm të pavarur.</v>
      </c>
      <c r="C69" s="29" t="s">
        <v>84</v>
      </c>
      <c r="D69" s="29" t="s">
        <v>143</v>
      </c>
      <c r="E69" s="29" t="s">
        <v>9</v>
      </c>
      <c r="F69" s="187" t="s">
        <v>103</v>
      </c>
      <c r="G69" s="187"/>
      <c r="H69" s="209">
        <f>'Politika 3'!J40</f>
        <v>260</v>
      </c>
      <c r="I69" s="209">
        <f>'Politika 3'!K40</f>
        <v>0</v>
      </c>
      <c r="J69" s="209">
        <f>'Politika 3'!L40</f>
        <v>260</v>
      </c>
      <c r="K69" s="209">
        <f>'Politika 3'!M40</f>
        <v>0</v>
      </c>
      <c r="L69" s="204">
        <f>'Politika 3'!U40</f>
        <v>260</v>
      </c>
      <c r="M69" s="204">
        <f>'Politika 3'!V40</f>
        <v>0</v>
      </c>
      <c r="N69" s="204">
        <f>'Politika 3'!W40</f>
        <v>0</v>
      </c>
      <c r="O69" s="204">
        <f>'Politika 3'!X40</f>
        <v>260</v>
      </c>
      <c r="P69" s="204">
        <f>'Politika 3'!Y40</f>
        <v>0</v>
      </c>
      <c r="Q69" s="204">
        <f>'Politika 3'!AG40</f>
        <v>0</v>
      </c>
      <c r="R69" s="204">
        <f>'Politika 3'!AH40</f>
        <v>0</v>
      </c>
      <c r="S69" s="204">
        <f>'Politika 3'!AI40</f>
        <v>0</v>
      </c>
      <c r="T69" s="204">
        <f>'Politika 3'!AJ40</f>
        <v>0</v>
      </c>
      <c r="U69" s="204">
        <f>'Politika 3'!AK40</f>
        <v>0</v>
      </c>
      <c r="V69" s="204">
        <f>'Politika 3'!AS40</f>
        <v>0</v>
      </c>
      <c r="W69" s="204">
        <f>'Politika 3'!AT40</f>
        <v>0</v>
      </c>
      <c r="X69" s="204">
        <f>'Politika 3'!AU40</f>
        <v>0</v>
      </c>
      <c r="Y69" s="204">
        <f>'Politika 3'!AV40</f>
        <v>0</v>
      </c>
      <c r="Z69" s="204">
        <f>'Politika 3'!AW40</f>
        <v>0</v>
      </c>
    </row>
    <row r="70" spans="1:26" s="4" customFormat="1" ht="61.5" customHeight="1" x14ac:dyDescent="0.2">
      <c r="A70" s="8"/>
      <c r="B70" s="102" t="str">
        <f>'Politika 3'!B41</f>
        <v xml:space="preserve">l) Mbështetja dhe monitorimi në vazhdimësi si dhe evidentimi/vlerësimi i impaktit të trajnimit tek fëmijët. </v>
      </c>
      <c r="C70" s="29" t="s">
        <v>84</v>
      </c>
      <c r="D70" s="29" t="s">
        <v>98</v>
      </c>
      <c r="E70" s="29" t="s">
        <v>21</v>
      </c>
      <c r="F70" s="187" t="s">
        <v>12</v>
      </c>
      <c r="G70" s="187"/>
      <c r="H70" s="209">
        <f>'Politika 3'!J41</f>
        <v>1476</v>
      </c>
      <c r="I70" s="209">
        <f>'Politika 3'!K41</f>
        <v>1476</v>
      </c>
      <c r="J70" s="209">
        <f>'Politika 3'!L41</f>
        <v>0</v>
      </c>
      <c r="K70" s="209">
        <f>'Politika 3'!M41</f>
        <v>0</v>
      </c>
      <c r="L70" s="204">
        <f>'Politika 3'!U41</f>
        <v>492</v>
      </c>
      <c r="M70" s="204">
        <f>'Politika 3'!V41</f>
        <v>492</v>
      </c>
      <c r="N70" s="204">
        <f>'Politika 3'!W41</f>
        <v>0</v>
      </c>
      <c r="O70" s="204">
        <f>'Politika 3'!X41</f>
        <v>0</v>
      </c>
      <c r="P70" s="204">
        <f>'Politika 3'!Y41</f>
        <v>0</v>
      </c>
      <c r="Q70" s="204">
        <f>'Politika 3'!AG41</f>
        <v>492</v>
      </c>
      <c r="R70" s="204">
        <f>'Politika 3'!AH41</f>
        <v>492</v>
      </c>
      <c r="S70" s="204">
        <f>'Politika 3'!AI41</f>
        <v>0</v>
      </c>
      <c r="T70" s="204">
        <f>'Politika 3'!AJ41</f>
        <v>0</v>
      </c>
      <c r="U70" s="204">
        <f>'Politika 3'!AK41</f>
        <v>0</v>
      </c>
      <c r="V70" s="204">
        <f>'Politika 3'!AS41</f>
        <v>492</v>
      </c>
      <c r="W70" s="204">
        <f>'Politika 3'!AT41</f>
        <v>492</v>
      </c>
      <c r="X70" s="204">
        <f>'Politika 3'!AU41</f>
        <v>0</v>
      </c>
      <c r="Y70" s="204">
        <f>'Politika 3'!AV41</f>
        <v>0</v>
      </c>
      <c r="Z70" s="204">
        <f>'Politika 3'!AW41</f>
        <v>0</v>
      </c>
    </row>
    <row r="71" spans="1:26" s="132" customFormat="1" ht="50.25" customHeight="1" x14ac:dyDescent="0.15">
      <c r="A71" s="29"/>
      <c r="B71" s="102" t="str">
        <f>'Politika 3'!B42</f>
        <v>m) Vlerësimi i ecurisë së fëmijëve me çdo institucion, familjet dhe hartimi i një plani në vazhdimësi për të forcuar jetesën gjysëm të pavarur</v>
      </c>
      <c r="C71" s="29"/>
      <c r="D71" s="29"/>
      <c r="E71" s="29"/>
      <c r="F71" s="187"/>
      <c r="G71" s="187"/>
      <c r="H71" s="209">
        <f>'Politika 3'!J42</f>
        <v>243</v>
      </c>
      <c r="I71" s="209">
        <f>'Politika 3'!K42</f>
        <v>243</v>
      </c>
      <c r="J71" s="209">
        <f>'Politika 3'!L42</f>
        <v>0</v>
      </c>
      <c r="K71" s="209">
        <f>'Politika 3'!M42</f>
        <v>0</v>
      </c>
      <c r="L71" s="204">
        <f>'Politika 3'!U42</f>
        <v>81</v>
      </c>
      <c r="M71" s="204">
        <f>'Politika 3'!V42</f>
        <v>81</v>
      </c>
      <c r="N71" s="204">
        <f>'Politika 3'!W42</f>
        <v>0</v>
      </c>
      <c r="O71" s="204">
        <f>'Politika 3'!X42</f>
        <v>0</v>
      </c>
      <c r="P71" s="204">
        <f>'Politika 3'!Y42</f>
        <v>0</v>
      </c>
      <c r="Q71" s="204">
        <f>'Politika 3'!AG42</f>
        <v>81</v>
      </c>
      <c r="R71" s="204">
        <f>'Politika 3'!AH42</f>
        <v>81</v>
      </c>
      <c r="S71" s="204">
        <f>'Politika 3'!AI42</f>
        <v>0</v>
      </c>
      <c r="T71" s="204">
        <f>'Politika 3'!AJ42</f>
        <v>0</v>
      </c>
      <c r="U71" s="204">
        <f>'Politika 3'!AK42</f>
        <v>0</v>
      </c>
      <c r="V71" s="204">
        <f>'Politika 3'!AS42</f>
        <v>81</v>
      </c>
      <c r="W71" s="204">
        <f>'Politika 3'!AT42</f>
        <v>81</v>
      </c>
      <c r="X71" s="204">
        <f>'Politika 3'!AU42</f>
        <v>0</v>
      </c>
      <c r="Y71" s="204">
        <f>'Politika 3'!AV42</f>
        <v>0</v>
      </c>
      <c r="Z71" s="204">
        <f>'Politika 3'!AW42</f>
        <v>0</v>
      </c>
    </row>
    <row r="72" spans="1:26" s="132" customFormat="1" ht="130.5" customHeight="1" x14ac:dyDescent="0.15">
      <c r="A72" s="145"/>
      <c r="B72" s="159" t="s">
        <v>362</v>
      </c>
      <c r="C72" s="29" t="s">
        <v>84</v>
      </c>
      <c r="D72" s="29" t="s">
        <v>88</v>
      </c>
      <c r="E72" s="29" t="s">
        <v>9</v>
      </c>
      <c r="F72" s="187" t="s">
        <v>12</v>
      </c>
      <c r="G72" s="270" t="s">
        <v>454</v>
      </c>
      <c r="H72" s="211">
        <f>SUM(H73:H86)</f>
        <v>15482</v>
      </c>
      <c r="I72" s="211">
        <f t="shared" ref="I72:Z72" si="64">SUM(I73:I86)</f>
        <v>15222</v>
      </c>
      <c r="J72" s="211">
        <f t="shared" si="64"/>
        <v>260</v>
      </c>
      <c r="K72" s="211">
        <f t="shared" si="64"/>
        <v>0</v>
      </c>
      <c r="L72" s="211">
        <f t="shared" si="64"/>
        <v>8032</v>
      </c>
      <c r="M72" s="211">
        <f t="shared" si="64"/>
        <v>7772</v>
      </c>
      <c r="N72" s="211">
        <f t="shared" si="64"/>
        <v>0</v>
      </c>
      <c r="O72" s="211">
        <f t="shared" si="64"/>
        <v>260</v>
      </c>
      <c r="P72" s="211">
        <f t="shared" si="64"/>
        <v>0</v>
      </c>
      <c r="Q72" s="211">
        <f t="shared" si="64"/>
        <v>4340</v>
      </c>
      <c r="R72" s="211">
        <f t="shared" si="64"/>
        <v>4340</v>
      </c>
      <c r="S72" s="211">
        <f t="shared" si="64"/>
        <v>0</v>
      </c>
      <c r="T72" s="211">
        <f t="shared" si="64"/>
        <v>0</v>
      </c>
      <c r="U72" s="211">
        <f t="shared" si="64"/>
        <v>0</v>
      </c>
      <c r="V72" s="211">
        <f t="shared" si="64"/>
        <v>3110</v>
      </c>
      <c r="W72" s="211">
        <f t="shared" si="64"/>
        <v>3110</v>
      </c>
      <c r="X72" s="211">
        <f t="shared" si="64"/>
        <v>0</v>
      </c>
      <c r="Y72" s="211">
        <f t="shared" si="64"/>
        <v>0</v>
      </c>
      <c r="Z72" s="211">
        <f t="shared" si="64"/>
        <v>0</v>
      </c>
    </row>
    <row r="73" spans="1:26" s="132" customFormat="1" ht="78" customHeight="1" x14ac:dyDescent="0.15">
      <c r="A73" s="8"/>
      <c r="B73" s="20" t="s">
        <v>36</v>
      </c>
      <c r="C73" s="29" t="s">
        <v>84</v>
      </c>
      <c r="D73" s="29" t="s">
        <v>99</v>
      </c>
      <c r="E73" s="29" t="s">
        <v>14</v>
      </c>
      <c r="F73" s="187" t="s">
        <v>109</v>
      </c>
      <c r="G73" s="187" t="s">
        <v>329</v>
      </c>
      <c r="H73" s="214">
        <f>'Politika 3'!J44</f>
        <v>2460</v>
      </c>
      <c r="I73" s="214">
        <f>'Politika 3'!K44</f>
        <v>2460</v>
      </c>
      <c r="J73" s="214">
        <f>'Politika 3'!L44</f>
        <v>0</v>
      </c>
      <c r="K73" s="214">
        <f>'Politika 3'!M44</f>
        <v>0</v>
      </c>
      <c r="L73" s="204">
        <f>'Politika 3'!U44</f>
        <v>1230</v>
      </c>
      <c r="M73" s="204">
        <f>'Politika 3'!V44</f>
        <v>1230</v>
      </c>
      <c r="N73" s="204">
        <f>'Politika 3'!W44</f>
        <v>0</v>
      </c>
      <c r="O73" s="204">
        <f>'Politika 3'!X44</f>
        <v>0</v>
      </c>
      <c r="P73" s="204">
        <f>'Politika 3'!Y44</f>
        <v>0</v>
      </c>
      <c r="Q73" s="204">
        <f>'Politika 3'!AG44</f>
        <v>1230</v>
      </c>
      <c r="R73" s="204">
        <f>'Politika 3'!AH44</f>
        <v>1230</v>
      </c>
      <c r="S73" s="204">
        <f>'Politika 3'!AI44</f>
        <v>0</v>
      </c>
      <c r="T73" s="204">
        <f>'Politika 3'!AJ44</f>
        <v>0</v>
      </c>
      <c r="U73" s="204">
        <f>'Politika 3'!AK44</f>
        <v>0</v>
      </c>
      <c r="V73" s="204">
        <f>'Politika 3'!AS44</f>
        <v>0</v>
      </c>
      <c r="W73" s="204">
        <f>'Politika 3'!AT44</f>
        <v>0</v>
      </c>
      <c r="X73" s="204">
        <f>'Politika 3'!AU44</f>
        <v>0</v>
      </c>
      <c r="Y73" s="204">
        <f>'Politika 3'!AV44</f>
        <v>0</v>
      </c>
      <c r="Z73" s="204">
        <f>'Politika 3'!AW44</f>
        <v>0</v>
      </c>
    </row>
    <row r="74" spans="1:26" s="132" customFormat="1" ht="77.25" customHeight="1" x14ac:dyDescent="0.15">
      <c r="A74" s="8"/>
      <c r="B74" s="7" t="s">
        <v>302</v>
      </c>
      <c r="C74" s="29" t="s">
        <v>84</v>
      </c>
      <c r="D74" s="29" t="s">
        <v>102</v>
      </c>
      <c r="E74" s="29" t="s">
        <v>9</v>
      </c>
      <c r="F74" s="187" t="s">
        <v>103</v>
      </c>
      <c r="G74" s="187" t="s">
        <v>329</v>
      </c>
      <c r="H74" s="214">
        <f>'Politika 3'!J45</f>
        <v>2460</v>
      </c>
      <c r="I74" s="214">
        <f>'Politika 3'!K45</f>
        <v>2460</v>
      </c>
      <c r="J74" s="214">
        <f>'Politika 3'!L45</f>
        <v>0</v>
      </c>
      <c r="K74" s="214">
        <f>'Politika 3'!M45</f>
        <v>0</v>
      </c>
      <c r="L74" s="204">
        <f>'Politika 3'!U45</f>
        <v>2460</v>
      </c>
      <c r="M74" s="204">
        <f>'Politika 3'!V45</f>
        <v>2460</v>
      </c>
      <c r="N74" s="204">
        <f>'Politika 3'!W45</f>
        <v>0</v>
      </c>
      <c r="O74" s="204">
        <f>'Politika 3'!X45</f>
        <v>0</v>
      </c>
      <c r="P74" s="204">
        <f>'Politika 3'!Y45</f>
        <v>0</v>
      </c>
      <c r="Q74" s="204">
        <f>'Politika 3'!AG45</f>
        <v>0</v>
      </c>
      <c r="R74" s="204">
        <f>'Politika 3'!AH45</f>
        <v>0</v>
      </c>
      <c r="S74" s="204">
        <f>'Politika 3'!AI45</f>
        <v>0</v>
      </c>
      <c r="T74" s="204">
        <f>'Politika 3'!AJ45</f>
        <v>0</v>
      </c>
      <c r="U74" s="204">
        <f>'Politika 3'!AK45</f>
        <v>0</v>
      </c>
      <c r="V74" s="204">
        <f>'Politika 3'!AS45</f>
        <v>0</v>
      </c>
      <c r="W74" s="204">
        <f>'Politika 3'!AT45</f>
        <v>0</v>
      </c>
      <c r="X74" s="204">
        <f>'Politika 3'!AU45</f>
        <v>0</v>
      </c>
      <c r="Y74" s="204">
        <f>'Politika 3'!AV45</f>
        <v>0</v>
      </c>
      <c r="Z74" s="204">
        <f>'Politika 3'!AW45</f>
        <v>0</v>
      </c>
    </row>
    <row r="75" spans="1:26" s="132" customFormat="1" ht="44.25" customHeight="1" x14ac:dyDescent="0.15">
      <c r="A75" s="8"/>
      <c r="B75" s="7" t="s">
        <v>317</v>
      </c>
      <c r="C75" s="29" t="s">
        <v>84</v>
      </c>
      <c r="D75" s="29" t="s">
        <v>102</v>
      </c>
      <c r="E75" s="29" t="s">
        <v>9</v>
      </c>
      <c r="F75" s="187" t="s">
        <v>12</v>
      </c>
      <c r="G75" s="348"/>
      <c r="H75" s="214">
        <f>'Politika 3'!J46</f>
        <v>260</v>
      </c>
      <c r="I75" s="214">
        <f>'Politika 3'!K46</f>
        <v>0</v>
      </c>
      <c r="J75" s="214">
        <f>'Politika 3'!L46</f>
        <v>260</v>
      </c>
      <c r="K75" s="214">
        <f>'Politika 3'!M46</f>
        <v>0</v>
      </c>
      <c r="L75" s="204">
        <f>'Politika 3'!U46</f>
        <v>260</v>
      </c>
      <c r="M75" s="204">
        <f>'Politika 3'!V46</f>
        <v>0</v>
      </c>
      <c r="N75" s="204">
        <f>'Politika 3'!W46</f>
        <v>0</v>
      </c>
      <c r="O75" s="204">
        <f>'Politika 3'!X46</f>
        <v>260</v>
      </c>
      <c r="P75" s="204">
        <f>'Politika 3'!Y46</f>
        <v>0</v>
      </c>
      <c r="Q75" s="204">
        <f>'Politika 3'!AG46</f>
        <v>0</v>
      </c>
      <c r="R75" s="204">
        <f>'Politika 3'!AH46</f>
        <v>0</v>
      </c>
      <c r="S75" s="204">
        <f>'Politika 3'!AI46</f>
        <v>0</v>
      </c>
      <c r="T75" s="204">
        <f>'Politika 3'!AJ46</f>
        <v>0</v>
      </c>
      <c r="U75" s="204">
        <f>'Politika 3'!AK46</f>
        <v>0</v>
      </c>
      <c r="V75" s="204">
        <f>'Politika 3'!AS46</f>
        <v>0</v>
      </c>
      <c r="W75" s="204">
        <f>'Politika 3'!AT46</f>
        <v>0</v>
      </c>
      <c r="X75" s="204">
        <f>'Politika 3'!AU46</f>
        <v>0</v>
      </c>
      <c r="Y75" s="204">
        <f>'Politika 3'!AV46</f>
        <v>0</v>
      </c>
      <c r="Z75" s="204">
        <f>'Politika 3'!AW46</f>
        <v>0</v>
      </c>
    </row>
    <row r="76" spans="1:26" s="132" customFormat="1" ht="54" customHeight="1" x14ac:dyDescent="0.15">
      <c r="A76" s="8"/>
      <c r="B76" s="12" t="s">
        <v>214</v>
      </c>
      <c r="C76" s="29" t="s">
        <v>80</v>
      </c>
      <c r="D76" s="29" t="s">
        <v>99</v>
      </c>
      <c r="E76" s="29" t="s">
        <v>9</v>
      </c>
      <c r="F76" s="187" t="s">
        <v>12</v>
      </c>
      <c r="G76" s="187" t="s">
        <v>328</v>
      </c>
      <c r="H76" s="214">
        <f>'Politika 3'!J47</f>
        <v>972</v>
      </c>
      <c r="I76" s="214">
        <f>'Politika 3'!K47</f>
        <v>972</v>
      </c>
      <c r="J76" s="214">
        <f>'Politika 3'!L47</f>
        <v>0</v>
      </c>
      <c r="K76" s="214">
        <f>'Politika 3'!M47</f>
        <v>0</v>
      </c>
      <c r="L76" s="204">
        <f>'Politika 3'!U47</f>
        <v>972</v>
      </c>
      <c r="M76" s="204">
        <f>'Politika 3'!V47</f>
        <v>972</v>
      </c>
      <c r="N76" s="204">
        <f>'Politika 3'!W47</f>
        <v>0</v>
      </c>
      <c r="O76" s="204">
        <f>'Politika 3'!X47</f>
        <v>0</v>
      </c>
      <c r="P76" s="204">
        <f>'Politika 3'!Y47</f>
        <v>0</v>
      </c>
      <c r="Q76" s="204">
        <f>'Politika 3'!AG47</f>
        <v>0</v>
      </c>
      <c r="R76" s="204">
        <f>'Politika 3'!AH47</f>
        <v>0</v>
      </c>
      <c r="S76" s="204">
        <f>'Politika 3'!AI47</f>
        <v>0</v>
      </c>
      <c r="T76" s="204">
        <f>'Politika 3'!AJ47</f>
        <v>0</v>
      </c>
      <c r="U76" s="204">
        <f>'Politika 3'!AK47</f>
        <v>0</v>
      </c>
      <c r="V76" s="204">
        <f>'Politika 3'!AS47</f>
        <v>0</v>
      </c>
      <c r="W76" s="204">
        <f>'Politika 3'!AT47</f>
        <v>0</v>
      </c>
      <c r="X76" s="204">
        <f>'Politika 3'!AU47</f>
        <v>0</v>
      </c>
      <c r="Y76" s="204">
        <f>'Politika 3'!AV47</f>
        <v>0</v>
      </c>
      <c r="Z76" s="204">
        <f>'Politika 3'!AW47</f>
        <v>0</v>
      </c>
    </row>
    <row r="77" spans="1:26" s="132" customFormat="1" ht="41.25" customHeight="1" x14ac:dyDescent="0.15">
      <c r="A77" s="8"/>
      <c r="B77" s="12" t="s">
        <v>127</v>
      </c>
      <c r="C77" s="29" t="s">
        <v>74</v>
      </c>
      <c r="D77" s="29" t="s">
        <v>97</v>
      </c>
      <c r="E77" s="29" t="s">
        <v>9</v>
      </c>
      <c r="F77" s="187" t="s">
        <v>12</v>
      </c>
      <c r="G77" s="187"/>
      <c r="H77" s="214">
        <f>'Politika 3'!J48</f>
        <v>420</v>
      </c>
      <c r="I77" s="214">
        <f>'Politika 3'!K48</f>
        <v>420</v>
      </c>
      <c r="J77" s="214">
        <f>'Politika 3'!L48</f>
        <v>0</v>
      </c>
      <c r="K77" s="214">
        <f>'Politika 3'!M48</f>
        <v>0</v>
      </c>
      <c r="L77" s="204">
        <f>'Politika 3'!U48</f>
        <v>140</v>
      </c>
      <c r="M77" s="204">
        <f>'Politika 3'!V48</f>
        <v>140</v>
      </c>
      <c r="N77" s="204">
        <f>'Politika 3'!W48</f>
        <v>0</v>
      </c>
      <c r="O77" s="204">
        <f>'Politika 3'!X48</f>
        <v>0</v>
      </c>
      <c r="P77" s="204">
        <f>'Politika 3'!Y48</f>
        <v>0</v>
      </c>
      <c r="Q77" s="204">
        <f>'Politika 3'!AG48</f>
        <v>140</v>
      </c>
      <c r="R77" s="204">
        <f>'Politika 3'!AH48</f>
        <v>140</v>
      </c>
      <c r="S77" s="204">
        <f>'Politika 3'!AI48</f>
        <v>0</v>
      </c>
      <c r="T77" s="204">
        <f>'Politika 3'!AJ48</f>
        <v>0</v>
      </c>
      <c r="U77" s="204">
        <f>'Politika 3'!AK48</f>
        <v>0</v>
      </c>
      <c r="V77" s="204">
        <f>'Politika 3'!AS48</f>
        <v>140</v>
      </c>
      <c r="W77" s="204">
        <f>'Politika 3'!AT48</f>
        <v>140</v>
      </c>
      <c r="X77" s="204">
        <f>'Politika 3'!AU48</f>
        <v>0</v>
      </c>
      <c r="Y77" s="204">
        <f>'Politika 3'!AV48</f>
        <v>0</v>
      </c>
      <c r="Z77" s="204">
        <f>'Politika 3'!AW48</f>
        <v>0</v>
      </c>
    </row>
    <row r="78" spans="1:26" s="132" customFormat="1" ht="42" customHeight="1" x14ac:dyDescent="0.15">
      <c r="A78" s="8"/>
      <c r="B78" s="12" t="s">
        <v>128</v>
      </c>
      <c r="C78" s="29" t="s">
        <v>74</v>
      </c>
      <c r="D78" s="29" t="s">
        <v>97</v>
      </c>
      <c r="E78" s="29" t="s">
        <v>9</v>
      </c>
      <c r="F78" s="187" t="s">
        <v>12</v>
      </c>
      <c r="G78" s="187"/>
      <c r="H78" s="214">
        <f>'Politika 3'!J49</f>
        <v>420</v>
      </c>
      <c r="I78" s="214">
        <f>'Politika 3'!K49</f>
        <v>420</v>
      </c>
      <c r="J78" s="214">
        <f>'Politika 3'!L49</f>
        <v>0</v>
      </c>
      <c r="K78" s="214">
        <f>'Politika 3'!M49</f>
        <v>0</v>
      </c>
      <c r="L78" s="204">
        <f>'Politika 3'!U49</f>
        <v>140</v>
      </c>
      <c r="M78" s="204">
        <f>'Politika 3'!V49</f>
        <v>140</v>
      </c>
      <c r="N78" s="204">
        <f>'Politika 3'!W49</f>
        <v>0</v>
      </c>
      <c r="O78" s="204">
        <f>'Politika 3'!X49</f>
        <v>0</v>
      </c>
      <c r="P78" s="204">
        <f>'Politika 3'!Y49</f>
        <v>0</v>
      </c>
      <c r="Q78" s="204">
        <f>'Politika 3'!AG49</f>
        <v>140</v>
      </c>
      <c r="R78" s="204">
        <f>'Politika 3'!AH49</f>
        <v>140</v>
      </c>
      <c r="S78" s="204">
        <f>'Politika 3'!AI49</f>
        <v>0</v>
      </c>
      <c r="T78" s="204">
        <f>'Politika 3'!AJ49</f>
        <v>0</v>
      </c>
      <c r="U78" s="204">
        <f>'Politika 3'!AK49</f>
        <v>0</v>
      </c>
      <c r="V78" s="204">
        <f>'Politika 3'!AS49</f>
        <v>140</v>
      </c>
      <c r="W78" s="204">
        <f>'Politika 3'!AT49</f>
        <v>140</v>
      </c>
      <c r="X78" s="204">
        <f>'Politika 3'!AU49</f>
        <v>0</v>
      </c>
      <c r="Y78" s="204">
        <f>'Politika 3'!AV49</f>
        <v>0</v>
      </c>
      <c r="Z78" s="204">
        <f>'Politika 3'!AW49</f>
        <v>0</v>
      </c>
    </row>
    <row r="79" spans="1:26" s="132" customFormat="1" ht="33" customHeight="1" x14ac:dyDescent="0.15">
      <c r="A79" s="144"/>
      <c r="B79" s="7" t="s">
        <v>129</v>
      </c>
      <c r="C79" s="29" t="s">
        <v>74</v>
      </c>
      <c r="D79" s="29" t="s">
        <v>97</v>
      </c>
      <c r="E79" s="29" t="s">
        <v>9</v>
      </c>
      <c r="F79" s="187" t="s">
        <v>12</v>
      </c>
      <c r="G79" s="187"/>
      <c r="H79" s="214">
        <f>'Politika 3'!J50</f>
        <v>174</v>
      </c>
      <c r="I79" s="214">
        <f>'Politika 3'!K50</f>
        <v>174</v>
      </c>
      <c r="J79" s="214">
        <f>'Politika 3'!L50</f>
        <v>0</v>
      </c>
      <c r="K79" s="214">
        <f>'Politika 3'!M50</f>
        <v>0</v>
      </c>
      <c r="L79" s="204">
        <f>'Politika 3'!U50</f>
        <v>58</v>
      </c>
      <c r="M79" s="204">
        <f>'Politika 3'!V50</f>
        <v>58</v>
      </c>
      <c r="N79" s="204">
        <f>'Politika 3'!W50</f>
        <v>0</v>
      </c>
      <c r="O79" s="204">
        <f>'Politika 3'!X50</f>
        <v>0</v>
      </c>
      <c r="P79" s="204">
        <f>'Politika 3'!Y50</f>
        <v>0</v>
      </c>
      <c r="Q79" s="204">
        <f>'Politika 3'!AG50</f>
        <v>58</v>
      </c>
      <c r="R79" s="204">
        <f>'Politika 3'!AH50</f>
        <v>58</v>
      </c>
      <c r="S79" s="204">
        <f>'Politika 3'!AI50</f>
        <v>0</v>
      </c>
      <c r="T79" s="204">
        <f>'Politika 3'!AJ50</f>
        <v>0</v>
      </c>
      <c r="U79" s="204">
        <f>'Politika 3'!AK50</f>
        <v>0</v>
      </c>
      <c r="V79" s="204">
        <f>'Politika 3'!AS50</f>
        <v>58</v>
      </c>
      <c r="W79" s="204">
        <f>'Politika 3'!AT50</f>
        <v>58</v>
      </c>
      <c r="X79" s="204">
        <f>'Politika 3'!AU50</f>
        <v>0</v>
      </c>
      <c r="Y79" s="204">
        <f>'Politika 3'!AV50</f>
        <v>0</v>
      </c>
      <c r="Z79" s="204">
        <f>'Politika 3'!AW50</f>
        <v>0</v>
      </c>
    </row>
    <row r="80" spans="1:26" s="132" customFormat="1" ht="30.75" customHeight="1" x14ac:dyDescent="0.15">
      <c r="A80" s="144"/>
      <c r="B80" s="7" t="s">
        <v>130</v>
      </c>
      <c r="C80" s="29" t="s">
        <v>74</v>
      </c>
      <c r="D80" s="29" t="s">
        <v>97</v>
      </c>
      <c r="E80" s="29" t="s">
        <v>9</v>
      </c>
      <c r="F80" s="187" t="s">
        <v>12</v>
      </c>
      <c r="G80" s="187" t="s">
        <v>463</v>
      </c>
      <c r="H80" s="214">
        <f>'Politika 3'!J51</f>
        <v>210</v>
      </c>
      <c r="I80" s="214">
        <f>'Politika 3'!K51</f>
        <v>210</v>
      </c>
      <c r="J80" s="214">
        <f>'Politika 3'!L51</f>
        <v>0</v>
      </c>
      <c r="K80" s="214">
        <f>'Politika 3'!M51</f>
        <v>0</v>
      </c>
      <c r="L80" s="204">
        <f>'Politika 3'!U51</f>
        <v>70</v>
      </c>
      <c r="M80" s="204">
        <f>'Politika 3'!V51</f>
        <v>70</v>
      </c>
      <c r="N80" s="204">
        <f>'Politika 3'!W51</f>
        <v>0</v>
      </c>
      <c r="O80" s="204">
        <f>'Politika 3'!X51</f>
        <v>0</v>
      </c>
      <c r="P80" s="204">
        <f>'Politika 3'!Y51</f>
        <v>0</v>
      </c>
      <c r="Q80" s="204">
        <f>'Politika 3'!AG51</f>
        <v>70</v>
      </c>
      <c r="R80" s="204">
        <f>'Politika 3'!AH51</f>
        <v>70</v>
      </c>
      <c r="S80" s="204">
        <f>'Politika 3'!AI51</f>
        <v>0</v>
      </c>
      <c r="T80" s="204">
        <f>'Politika 3'!AJ51</f>
        <v>0</v>
      </c>
      <c r="U80" s="204">
        <f>'Politika 3'!AK51</f>
        <v>0</v>
      </c>
      <c r="V80" s="204">
        <f>'Politika 3'!AS51</f>
        <v>70</v>
      </c>
      <c r="W80" s="204">
        <f>'Politika 3'!AT51</f>
        <v>70</v>
      </c>
      <c r="X80" s="204">
        <f>'Politika 3'!AU51</f>
        <v>0</v>
      </c>
      <c r="Y80" s="204">
        <f>'Politika 3'!AV51</f>
        <v>0</v>
      </c>
      <c r="Z80" s="204">
        <f>'Politika 3'!AW51</f>
        <v>0</v>
      </c>
    </row>
    <row r="81" spans="1:26" s="132" customFormat="1" ht="42.75" customHeight="1" x14ac:dyDescent="0.15">
      <c r="A81" s="144"/>
      <c r="B81" s="7" t="s">
        <v>145</v>
      </c>
      <c r="C81" s="29" t="s">
        <v>74</v>
      </c>
      <c r="D81" s="29" t="s">
        <v>97</v>
      </c>
      <c r="E81" s="29" t="s">
        <v>9</v>
      </c>
      <c r="F81" s="187" t="s">
        <v>12</v>
      </c>
      <c r="G81" s="187"/>
      <c r="H81" s="214">
        <f>'Politika 3'!J52</f>
        <v>210</v>
      </c>
      <c r="I81" s="214">
        <f>'Politika 3'!K52</f>
        <v>210</v>
      </c>
      <c r="J81" s="214">
        <f>'Politika 3'!L52</f>
        <v>0</v>
      </c>
      <c r="K81" s="214">
        <f>'Politika 3'!M52</f>
        <v>0</v>
      </c>
      <c r="L81" s="204">
        <f>'Politika 3'!U52</f>
        <v>70</v>
      </c>
      <c r="M81" s="204">
        <f>'Politika 3'!V52</f>
        <v>70</v>
      </c>
      <c r="N81" s="204">
        <f>'Politika 3'!W52</f>
        <v>0</v>
      </c>
      <c r="O81" s="204">
        <f>'Politika 3'!X52</f>
        <v>0</v>
      </c>
      <c r="P81" s="204">
        <f>'Politika 3'!Y52</f>
        <v>0</v>
      </c>
      <c r="Q81" s="204">
        <f>'Politika 3'!AG52</f>
        <v>70</v>
      </c>
      <c r="R81" s="204">
        <f>'Politika 3'!AH52</f>
        <v>70</v>
      </c>
      <c r="S81" s="204">
        <f>'Politika 3'!AI52</f>
        <v>0</v>
      </c>
      <c r="T81" s="204">
        <f>'Politika 3'!AJ52</f>
        <v>0</v>
      </c>
      <c r="U81" s="204">
        <f>'Politika 3'!AK52</f>
        <v>0</v>
      </c>
      <c r="V81" s="204">
        <f>'Politika 3'!AS52</f>
        <v>70</v>
      </c>
      <c r="W81" s="204">
        <f>'Politika 3'!AT52</f>
        <v>70</v>
      </c>
      <c r="X81" s="204">
        <f>'Politika 3'!AU52</f>
        <v>0</v>
      </c>
      <c r="Y81" s="204">
        <f>'Politika 3'!AV52</f>
        <v>0</v>
      </c>
      <c r="Z81" s="204">
        <f>'Politika 3'!AW52</f>
        <v>0</v>
      </c>
    </row>
    <row r="82" spans="1:26" ht="48.75" customHeight="1" x14ac:dyDescent="0.15">
      <c r="A82" s="144"/>
      <c r="B82" s="20" t="s">
        <v>126</v>
      </c>
      <c r="C82" s="48"/>
      <c r="D82" s="48"/>
      <c r="E82" s="48"/>
      <c r="F82" s="188"/>
      <c r="G82" s="187"/>
      <c r="H82" s="214">
        <f>'Politika 3'!J53</f>
        <v>210</v>
      </c>
      <c r="I82" s="214">
        <f>'Politika 3'!K53</f>
        <v>210</v>
      </c>
      <c r="J82" s="214">
        <f>'Politika 3'!L53</f>
        <v>0</v>
      </c>
      <c r="K82" s="214">
        <f>'Politika 3'!M53</f>
        <v>0</v>
      </c>
      <c r="L82" s="204">
        <f>'Politika 3'!U53</f>
        <v>70</v>
      </c>
      <c r="M82" s="204">
        <f>'Politika 3'!V53</f>
        <v>70</v>
      </c>
      <c r="N82" s="204">
        <f>'Politika 3'!W53</f>
        <v>0</v>
      </c>
      <c r="O82" s="204">
        <f>'Politika 3'!X53</f>
        <v>0</v>
      </c>
      <c r="P82" s="204">
        <f>'Politika 3'!Y53</f>
        <v>0</v>
      </c>
      <c r="Q82" s="204">
        <f>'Politika 3'!AG53</f>
        <v>70</v>
      </c>
      <c r="R82" s="204">
        <f>'Politika 3'!AH53</f>
        <v>70</v>
      </c>
      <c r="S82" s="204">
        <f>'Politika 3'!AI53</f>
        <v>0</v>
      </c>
      <c r="T82" s="204">
        <f>'Politika 3'!AJ53</f>
        <v>0</v>
      </c>
      <c r="U82" s="204">
        <f>'Politika 3'!AK53</f>
        <v>0</v>
      </c>
      <c r="V82" s="204">
        <f>'Politika 3'!AS53</f>
        <v>70</v>
      </c>
      <c r="W82" s="204">
        <f>'Politika 3'!AT53</f>
        <v>70</v>
      </c>
      <c r="X82" s="204">
        <f>'Politika 3'!AU53</f>
        <v>0</v>
      </c>
      <c r="Y82" s="204">
        <f>'Politika 3'!AV53</f>
        <v>0</v>
      </c>
      <c r="Z82" s="204">
        <f>'Politika 3'!AW53</f>
        <v>0</v>
      </c>
    </row>
    <row r="83" spans="1:26" s="132" customFormat="1" ht="38.25" customHeight="1" x14ac:dyDescent="0.15">
      <c r="A83" s="144"/>
      <c r="B83" s="20" t="s">
        <v>131</v>
      </c>
      <c r="C83" s="29"/>
      <c r="D83" s="29"/>
      <c r="E83" s="29"/>
      <c r="F83" s="187"/>
      <c r="G83" s="187"/>
      <c r="H83" s="214">
        <f>'Politika 3'!J54</f>
        <v>210</v>
      </c>
      <c r="I83" s="214">
        <f>'Politika 3'!K54</f>
        <v>210</v>
      </c>
      <c r="J83" s="214">
        <f>'Politika 3'!L54</f>
        <v>0</v>
      </c>
      <c r="K83" s="214">
        <f>'Politika 3'!M54</f>
        <v>0</v>
      </c>
      <c r="L83" s="204">
        <f>'Politika 3'!U54</f>
        <v>70</v>
      </c>
      <c r="M83" s="204">
        <f>'Politika 3'!V54</f>
        <v>70</v>
      </c>
      <c r="N83" s="204">
        <f>'Politika 3'!W54</f>
        <v>0</v>
      </c>
      <c r="O83" s="204">
        <f>'Politika 3'!X54</f>
        <v>0</v>
      </c>
      <c r="P83" s="204">
        <f>'Politika 3'!Y54</f>
        <v>0</v>
      </c>
      <c r="Q83" s="204">
        <f>'Politika 3'!AG54</f>
        <v>70</v>
      </c>
      <c r="R83" s="204">
        <f>'Politika 3'!AH54</f>
        <v>70</v>
      </c>
      <c r="S83" s="204">
        <f>'Politika 3'!AI54</f>
        <v>0</v>
      </c>
      <c r="T83" s="204">
        <f>'Politika 3'!AJ54</f>
        <v>0</v>
      </c>
      <c r="U83" s="204">
        <f>'Politika 3'!AK54</f>
        <v>0</v>
      </c>
      <c r="V83" s="204">
        <f>'Politika 3'!AS54</f>
        <v>70</v>
      </c>
      <c r="W83" s="204">
        <f>'Politika 3'!AT54</f>
        <v>70</v>
      </c>
      <c r="X83" s="204">
        <f>'Politika 3'!AU54</f>
        <v>0</v>
      </c>
      <c r="Y83" s="204">
        <f>'Politika 3'!AV54</f>
        <v>0</v>
      </c>
      <c r="Z83" s="204">
        <f>'Politika 3'!AW54</f>
        <v>0</v>
      </c>
    </row>
    <row r="84" spans="1:26" s="132" customFormat="1" ht="33.75" customHeight="1" x14ac:dyDescent="0.15">
      <c r="A84" s="144"/>
      <c r="B84" s="20" t="s">
        <v>132</v>
      </c>
      <c r="C84" s="29" t="s">
        <v>84</v>
      </c>
      <c r="D84" s="29" t="s">
        <v>88</v>
      </c>
      <c r="E84" s="29" t="s">
        <v>21</v>
      </c>
      <c r="F84" s="187" t="s">
        <v>25</v>
      </c>
      <c r="G84" s="187"/>
      <c r="H84" s="214">
        <f>'Politika 3'!J55</f>
        <v>210</v>
      </c>
      <c r="I84" s="214">
        <f>'Politika 3'!K55</f>
        <v>210</v>
      </c>
      <c r="J84" s="214">
        <f>'Politika 3'!L55</f>
        <v>0</v>
      </c>
      <c r="K84" s="214">
        <f>'Politika 3'!M55</f>
        <v>0</v>
      </c>
      <c r="L84" s="204">
        <f>'Politika 3'!U55</f>
        <v>70</v>
      </c>
      <c r="M84" s="204">
        <f>'Politika 3'!V55</f>
        <v>70</v>
      </c>
      <c r="N84" s="204">
        <f>'Politika 3'!W55</f>
        <v>0</v>
      </c>
      <c r="O84" s="204">
        <f>'Politika 3'!X55</f>
        <v>0</v>
      </c>
      <c r="P84" s="204">
        <f>'Politika 3'!Y55</f>
        <v>0</v>
      </c>
      <c r="Q84" s="204">
        <f>'Politika 3'!AG55</f>
        <v>70</v>
      </c>
      <c r="R84" s="204">
        <f>'Politika 3'!AH55</f>
        <v>70</v>
      </c>
      <c r="S84" s="204">
        <f>'Politika 3'!AI55</f>
        <v>0</v>
      </c>
      <c r="T84" s="204">
        <f>'Politika 3'!AJ55</f>
        <v>0</v>
      </c>
      <c r="U84" s="204">
        <f>'Politika 3'!AK55</f>
        <v>0</v>
      </c>
      <c r="V84" s="204">
        <f>'Politika 3'!AS55</f>
        <v>70</v>
      </c>
      <c r="W84" s="204">
        <f>'Politika 3'!AT55</f>
        <v>70</v>
      </c>
      <c r="X84" s="204">
        <f>'Politika 3'!AU55</f>
        <v>0</v>
      </c>
      <c r="Y84" s="204">
        <f>'Politika 3'!AV55</f>
        <v>0</v>
      </c>
      <c r="Z84" s="204">
        <f>'Politika 3'!AW55</f>
        <v>0</v>
      </c>
    </row>
    <row r="85" spans="1:26" s="132" customFormat="1" ht="33.75" customHeight="1" x14ac:dyDescent="0.15">
      <c r="A85" s="144"/>
      <c r="B85" s="20" t="s">
        <v>133</v>
      </c>
      <c r="C85" s="29" t="s">
        <v>84</v>
      </c>
      <c r="D85" s="29" t="s">
        <v>88</v>
      </c>
      <c r="E85" s="29" t="s">
        <v>21</v>
      </c>
      <c r="F85" s="187" t="s">
        <v>10</v>
      </c>
      <c r="G85" s="187"/>
      <c r="H85" s="214">
        <f>'Politika 3'!J56</f>
        <v>210</v>
      </c>
      <c r="I85" s="214">
        <f>'Politika 3'!K56</f>
        <v>210</v>
      </c>
      <c r="J85" s="214">
        <f>'Politika 3'!L56</f>
        <v>0</v>
      </c>
      <c r="K85" s="214">
        <f>'Politika 3'!M56</f>
        <v>0</v>
      </c>
      <c r="L85" s="204">
        <f>'Politika 3'!U56</f>
        <v>70</v>
      </c>
      <c r="M85" s="204">
        <f>'Politika 3'!V56</f>
        <v>70</v>
      </c>
      <c r="N85" s="204">
        <f>'Politika 3'!W56</f>
        <v>0</v>
      </c>
      <c r="O85" s="204">
        <f>'Politika 3'!X56</f>
        <v>0</v>
      </c>
      <c r="P85" s="204">
        <f>'Politika 3'!Y56</f>
        <v>0</v>
      </c>
      <c r="Q85" s="204">
        <f>'Politika 3'!AG56</f>
        <v>70</v>
      </c>
      <c r="R85" s="204">
        <f>'Politika 3'!AH56</f>
        <v>70</v>
      </c>
      <c r="S85" s="204">
        <f>'Politika 3'!AI56</f>
        <v>0</v>
      </c>
      <c r="T85" s="204">
        <f>'Politika 3'!AJ56</f>
        <v>0</v>
      </c>
      <c r="U85" s="204">
        <f>'Politika 3'!AK56</f>
        <v>0</v>
      </c>
      <c r="V85" s="204">
        <f>'Politika 3'!AS56</f>
        <v>70</v>
      </c>
      <c r="W85" s="204">
        <f>'Politika 3'!AT56</f>
        <v>70</v>
      </c>
      <c r="X85" s="204">
        <f>'Politika 3'!AU56</f>
        <v>0</v>
      </c>
      <c r="Y85" s="204">
        <f>'Politika 3'!AV56</f>
        <v>0</v>
      </c>
      <c r="Z85" s="204">
        <f>'Politika 3'!AW56</f>
        <v>0</v>
      </c>
    </row>
    <row r="86" spans="1:26" s="132" customFormat="1" ht="41.25" customHeight="1" x14ac:dyDescent="0.15">
      <c r="A86" s="8"/>
      <c r="B86" s="41" t="s">
        <v>146</v>
      </c>
      <c r="C86" s="29" t="s">
        <v>84</v>
      </c>
      <c r="D86" s="29" t="s">
        <v>88</v>
      </c>
      <c r="E86" s="29" t="s">
        <v>25</v>
      </c>
      <c r="F86" s="187" t="s">
        <v>10</v>
      </c>
      <c r="G86" s="187"/>
      <c r="H86" s="214">
        <f>'Politika 3'!J57</f>
        <v>7056</v>
      </c>
      <c r="I86" s="214">
        <f>'Politika 3'!K57</f>
        <v>7056</v>
      </c>
      <c r="J86" s="214">
        <f>'Politika 3'!L57</f>
        <v>0</v>
      </c>
      <c r="K86" s="214">
        <f>'Politika 3'!M57</f>
        <v>0</v>
      </c>
      <c r="L86" s="204">
        <f>'Politika 3'!U57</f>
        <v>2352</v>
      </c>
      <c r="M86" s="204">
        <f>'Politika 3'!V57</f>
        <v>2352</v>
      </c>
      <c r="N86" s="204">
        <f>'Politika 3'!W57</f>
        <v>0</v>
      </c>
      <c r="O86" s="204">
        <f>'Politika 3'!X57</f>
        <v>0</v>
      </c>
      <c r="P86" s="204">
        <f>'Politika 3'!Y57</f>
        <v>0</v>
      </c>
      <c r="Q86" s="204">
        <f>'Politika 3'!AG57</f>
        <v>2352</v>
      </c>
      <c r="R86" s="204">
        <f>'Politika 3'!AH57</f>
        <v>2352</v>
      </c>
      <c r="S86" s="204">
        <f>'Politika 3'!AI57</f>
        <v>0</v>
      </c>
      <c r="T86" s="204">
        <f>'Politika 3'!AJ57</f>
        <v>0</v>
      </c>
      <c r="U86" s="204">
        <f>'Politika 3'!AK57</f>
        <v>0</v>
      </c>
      <c r="V86" s="204">
        <f>'Politika 3'!AS57</f>
        <v>2352</v>
      </c>
      <c r="W86" s="204">
        <f>'Politika 3'!AT57</f>
        <v>2352</v>
      </c>
      <c r="X86" s="204">
        <f>'Politika 3'!AU57</f>
        <v>0</v>
      </c>
      <c r="Y86" s="204">
        <f>'Politika 3'!AV57</f>
        <v>0</v>
      </c>
      <c r="Z86" s="204">
        <f>'Politika 3'!AW57</f>
        <v>0</v>
      </c>
    </row>
    <row r="87" spans="1:26" s="132" customFormat="1" ht="61.5" customHeight="1" x14ac:dyDescent="0.15">
      <c r="A87" s="166">
        <v>4</v>
      </c>
      <c r="B87" s="46" t="s">
        <v>272</v>
      </c>
      <c r="C87" s="29" t="s">
        <v>84</v>
      </c>
      <c r="D87" s="29" t="s">
        <v>88</v>
      </c>
      <c r="E87" s="29" t="s">
        <v>21</v>
      </c>
      <c r="F87" s="187" t="s">
        <v>10</v>
      </c>
      <c r="G87" s="352" t="s">
        <v>327</v>
      </c>
      <c r="H87" s="223">
        <f>H88+H103</f>
        <v>9509</v>
      </c>
      <c r="I87" s="223">
        <f t="shared" ref="I87:Z87" si="65">I88+I103</f>
        <v>2904</v>
      </c>
      <c r="J87" s="223">
        <f t="shared" si="65"/>
        <v>6605</v>
      </c>
      <c r="K87" s="223">
        <f t="shared" si="65"/>
        <v>0</v>
      </c>
      <c r="L87" s="223">
        <f t="shared" si="65"/>
        <v>4188</v>
      </c>
      <c r="M87" s="223">
        <f t="shared" si="65"/>
        <v>1248</v>
      </c>
      <c r="N87" s="223">
        <f t="shared" si="65"/>
        <v>0</v>
      </c>
      <c r="O87" s="223">
        <f t="shared" si="65"/>
        <v>3070</v>
      </c>
      <c r="P87" s="223">
        <f t="shared" si="65"/>
        <v>0</v>
      </c>
      <c r="Q87" s="223">
        <f t="shared" si="65"/>
        <v>3653</v>
      </c>
      <c r="R87" s="223">
        <f t="shared" si="65"/>
        <v>828</v>
      </c>
      <c r="S87" s="223">
        <f t="shared" si="65"/>
        <v>0</v>
      </c>
      <c r="T87" s="223">
        <f t="shared" si="65"/>
        <v>2825</v>
      </c>
      <c r="U87" s="223">
        <f t="shared" si="65"/>
        <v>0</v>
      </c>
      <c r="V87" s="223">
        <f t="shared" si="65"/>
        <v>1668</v>
      </c>
      <c r="W87" s="223">
        <f t="shared" si="65"/>
        <v>828</v>
      </c>
      <c r="X87" s="223">
        <f t="shared" si="65"/>
        <v>0</v>
      </c>
      <c r="Y87" s="223">
        <f t="shared" si="65"/>
        <v>840</v>
      </c>
      <c r="Z87" s="223">
        <f t="shared" si="65"/>
        <v>0</v>
      </c>
    </row>
    <row r="88" spans="1:26" s="132" customFormat="1" ht="78" customHeight="1" x14ac:dyDescent="0.15">
      <c r="A88" s="145"/>
      <c r="B88" s="162" t="s">
        <v>364</v>
      </c>
      <c r="C88" s="29" t="s">
        <v>79</v>
      </c>
      <c r="D88" s="29" t="s">
        <v>99</v>
      </c>
      <c r="E88" s="29" t="s">
        <v>9</v>
      </c>
      <c r="F88" s="187" t="s">
        <v>12</v>
      </c>
      <c r="G88" s="270" t="s">
        <v>330</v>
      </c>
      <c r="H88" s="211">
        <f>SUM(H89:H102)</f>
        <v>7466</v>
      </c>
      <c r="I88" s="211">
        <f t="shared" ref="I88:Z88" si="66">SUM(I89:I102)</f>
        <v>2151</v>
      </c>
      <c r="J88" s="211">
        <f t="shared" si="66"/>
        <v>5315</v>
      </c>
      <c r="K88" s="211">
        <f t="shared" si="66"/>
        <v>0</v>
      </c>
      <c r="L88" s="211">
        <f t="shared" si="66"/>
        <v>3215</v>
      </c>
      <c r="M88" s="211">
        <f t="shared" si="66"/>
        <v>925</v>
      </c>
      <c r="N88" s="211">
        <f t="shared" si="66"/>
        <v>0</v>
      </c>
      <c r="O88" s="211">
        <f t="shared" si="66"/>
        <v>2290</v>
      </c>
      <c r="P88" s="211">
        <f t="shared" si="66"/>
        <v>0</v>
      </c>
      <c r="Q88" s="211">
        <f t="shared" si="66"/>
        <v>3118</v>
      </c>
      <c r="R88" s="211">
        <f t="shared" si="66"/>
        <v>613</v>
      </c>
      <c r="S88" s="211">
        <f t="shared" si="66"/>
        <v>0</v>
      </c>
      <c r="T88" s="211">
        <f t="shared" si="66"/>
        <v>2505</v>
      </c>
      <c r="U88" s="211">
        <f t="shared" si="66"/>
        <v>0</v>
      </c>
      <c r="V88" s="211">
        <f t="shared" si="66"/>
        <v>1133</v>
      </c>
      <c r="W88" s="211">
        <f t="shared" si="66"/>
        <v>613</v>
      </c>
      <c r="X88" s="211">
        <f t="shared" si="66"/>
        <v>0</v>
      </c>
      <c r="Y88" s="211">
        <f t="shared" si="66"/>
        <v>520</v>
      </c>
      <c r="Z88" s="211">
        <f t="shared" si="66"/>
        <v>0</v>
      </c>
    </row>
    <row r="89" spans="1:26" s="132" customFormat="1" ht="23.25" customHeight="1" x14ac:dyDescent="0.15">
      <c r="A89" s="212"/>
      <c r="B89" s="33" t="str">
        <f>'Politika 4'!B12</f>
        <v>a) Hartimi i një manuali për praktikat e mira për de-institucionalizimin për Bashkitë;</v>
      </c>
      <c r="C89" s="29" t="s">
        <v>79</v>
      </c>
      <c r="D89" s="29" t="s">
        <v>99</v>
      </c>
      <c r="E89" s="29" t="s">
        <v>9</v>
      </c>
      <c r="F89" s="187" t="s">
        <v>12</v>
      </c>
      <c r="G89" s="348"/>
      <c r="H89" s="209">
        <f>'Politika 4'!J12</f>
        <v>130</v>
      </c>
      <c r="I89" s="209">
        <f>'Politika 4'!K12</f>
        <v>0</v>
      </c>
      <c r="J89" s="209">
        <f>'Politika 4'!L12</f>
        <v>130</v>
      </c>
      <c r="K89" s="209">
        <f>'Politika 4'!M12</f>
        <v>0</v>
      </c>
      <c r="L89" s="204">
        <f>'Politika 4'!U12</f>
        <v>130</v>
      </c>
      <c r="M89" s="204">
        <f>'Politika 4'!V12</f>
        <v>0</v>
      </c>
      <c r="N89" s="204">
        <f>'Politika 4'!W12</f>
        <v>0</v>
      </c>
      <c r="O89" s="204">
        <f>'Politika 4'!X12</f>
        <v>130</v>
      </c>
      <c r="P89" s="204">
        <f>'Politika 4'!Y12</f>
        <v>0</v>
      </c>
      <c r="Q89" s="204">
        <f>'Politika 4'!AG12</f>
        <v>0</v>
      </c>
      <c r="R89" s="204">
        <f>'Politika 4'!AH12</f>
        <v>0</v>
      </c>
      <c r="S89" s="204">
        <f>'Politika 4'!AI12</f>
        <v>0</v>
      </c>
      <c r="T89" s="204">
        <f>'Politika 4'!AJ12</f>
        <v>0</v>
      </c>
      <c r="U89" s="204">
        <f>'Politika 4'!AK12</f>
        <v>0</v>
      </c>
      <c r="V89" s="204">
        <f>'Politika 4'!AS12</f>
        <v>0</v>
      </c>
      <c r="W89" s="204">
        <f>'Politika 4'!AT12</f>
        <v>0</v>
      </c>
      <c r="X89" s="204">
        <f>'Politika 4'!AU12</f>
        <v>0</v>
      </c>
      <c r="Y89" s="204">
        <f>'Politika 4'!AV12</f>
        <v>0</v>
      </c>
      <c r="Z89" s="204">
        <f>'Politika 4'!AW12</f>
        <v>0</v>
      </c>
    </row>
    <row r="90" spans="1:26" s="132" customFormat="1" ht="40.5" customHeight="1" x14ac:dyDescent="0.15">
      <c r="A90" s="212"/>
      <c r="B90" s="33" t="str">
        <f>'Politika 4'!B13</f>
        <v>b) Orientimi dhe mbështetja e Bashkitë-ve në vetë-administrimin e shërbimeve të kujdesit shoqëror të ofruara në qendra publike në njësitë e tyre;</v>
      </c>
      <c r="C90" s="29" t="s">
        <v>79</v>
      </c>
      <c r="D90" s="29" t="s">
        <v>99</v>
      </c>
      <c r="E90" s="29" t="s">
        <v>23</v>
      </c>
      <c r="F90" s="187" t="s">
        <v>12</v>
      </c>
      <c r="G90" s="187" t="s">
        <v>330</v>
      </c>
      <c r="H90" s="209">
        <f>'Politika 4'!J13</f>
        <v>685</v>
      </c>
      <c r="I90" s="209">
        <f>'Politika 4'!K13</f>
        <v>685</v>
      </c>
      <c r="J90" s="209">
        <f>'Politika 4'!L13</f>
        <v>0</v>
      </c>
      <c r="K90" s="209">
        <f>'Politika 4'!M13</f>
        <v>0</v>
      </c>
      <c r="L90" s="204">
        <f>'Politika 4'!U13</f>
        <v>229</v>
      </c>
      <c r="M90" s="204">
        <f>'Politika 4'!V13</f>
        <v>229</v>
      </c>
      <c r="N90" s="204">
        <f>'Politika 4'!W13</f>
        <v>0</v>
      </c>
      <c r="O90" s="204">
        <f>'Politika 4'!X13</f>
        <v>0</v>
      </c>
      <c r="P90" s="204">
        <f>'Politika 4'!Y13</f>
        <v>0</v>
      </c>
      <c r="Q90" s="204">
        <f>'Politika 4'!AG13</f>
        <v>228</v>
      </c>
      <c r="R90" s="204">
        <f>'Politika 4'!AH13</f>
        <v>228</v>
      </c>
      <c r="S90" s="204">
        <f>'Politika 4'!AI13</f>
        <v>0</v>
      </c>
      <c r="T90" s="204">
        <f>'Politika 4'!AJ13</f>
        <v>0</v>
      </c>
      <c r="U90" s="204">
        <f>'Politika 4'!AK13</f>
        <v>0</v>
      </c>
      <c r="V90" s="204">
        <f>'Politika 4'!AS13</f>
        <v>228</v>
      </c>
      <c r="W90" s="204">
        <f>'Politika 4'!AT13</f>
        <v>228</v>
      </c>
      <c r="X90" s="204">
        <f>'Politika 4'!AU13</f>
        <v>0</v>
      </c>
      <c r="Y90" s="204">
        <f>'Politika 4'!AV13</f>
        <v>0</v>
      </c>
      <c r="Z90" s="204">
        <f>'Politika 4'!AW13</f>
        <v>0</v>
      </c>
    </row>
    <row r="91" spans="1:26" s="132" customFormat="1" ht="43.5" customHeight="1" x14ac:dyDescent="0.15">
      <c r="A91" s="8"/>
      <c r="B91" s="33" t="str">
        <f>'Politika 4'!B14</f>
        <v>c) Zhvillimi dhe akreditimi i programeve të trajnimit, për të siguruar zbatimin e përqasjeve dhe modeleve të reja të shërbimeve;</v>
      </c>
      <c r="C91" s="29" t="s">
        <v>35</v>
      </c>
      <c r="D91" s="29" t="s">
        <v>100</v>
      </c>
      <c r="E91" s="29" t="s">
        <v>9</v>
      </c>
      <c r="F91" s="187" t="s">
        <v>12</v>
      </c>
      <c r="G91" s="348"/>
      <c r="H91" s="209">
        <f>'Politika 4'!J14</f>
        <v>260</v>
      </c>
      <c r="I91" s="209">
        <f>'Politika 4'!K14</f>
        <v>0</v>
      </c>
      <c r="J91" s="209">
        <f>'Politika 4'!L14</f>
        <v>260</v>
      </c>
      <c r="K91" s="209">
        <f>'Politika 4'!M14</f>
        <v>0</v>
      </c>
      <c r="L91" s="204">
        <f>'Politika 4'!U14</f>
        <v>130</v>
      </c>
      <c r="M91" s="204">
        <f>'Politika 4'!V14</f>
        <v>0</v>
      </c>
      <c r="N91" s="204">
        <f>'Politika 4'!W14</f>
        <v>0</v>
      </c>
      <c r="O91" s="204">
        <f>'Politika 4'!X14</f>
        <v>130</v>
      </c>
      <c r="P91" s="204">
        <f>'Politika 4'!Y14</f>
        <v>0</v>
      </c>
      <c r="Q91" s="204">
        <f>'Politika 4'!AG14</f>
        <v>130</v>
      </c>
      <c r="R91" s="204">
        <f>'Politika 4'!AH14</f>
        <v>0</v>
      </c>
      <c r="S91" s="204">
        <f>'Politika 4'!AI14</f>
        <v>0</v>
      </c>
      <c r="T91" s="204">
        <f>'Politika 4'!AJ14</f>
        <v>130</v>
      </c>
      <c r="U91" s="204">
        <f>'Politika 4'!AK14</f>
        <v>0</v>
      </c>
      <c r="V91" s="204">
        <f>'Politika 4'!AS14</f>
        <v>0</v>
      </c>
      <c r="W91" s="204">
        <f>'Politika 4'!AT14</f>
        <v>0</v>
      </c>
      <c r="X91" s="204">
        <f>'Politika 4'!AU14</f>
        <v>0</v>
      </c>
      <c r="Y91" s="204">
        <f>'Politika 4'!AV14</f>
        <v>0</v>
      </c>
      <c r="Z91" s="204">
        <f>'Politika 4'!AW14</f>
        <v>0</v>
      </c>
    </row>
    <row r="92" spans="1:26" s="132" customFormat="1" ht="39.75" customHeight="1" x14ac:dyDescent="0.15">
      <c r="A92" s="29"/>
      <c r="B92" s="33" t="str">
        <f>'Politika 4'!B15</f>
        <v>d) Hartimi dhe miratimi/ akreditimi/ i paketës së trajnimeve për përkujdesin alternativ – për trajnimin fillestar dhe në vazhdim</v>
      </c>
      <c r="C92" s="29" t="s">
        <v>84</v>
      </c>
      <c r="D92" s="29" t="s">
        <v>99</v>
      </c>
      <c r="E92" s="29" t="s">
        <v>109</v>
      </c>
      <c r="F92" s="187" t="s">
        <v>104</v>
      </c>
      <c r="G92" s="187"/>
      <c r="H92" s="209">
        <f>'Politika 4'!J15</f>
        <v>390</v>
      </c>
      <c r="I92" s="209">
        <f>'Politika 4'!K15</f>
        <v>0</v>
      </c>
      <c r="J92" s="209">
        <f>'Politika 4'!L15</f>
        <v>390</v>
      </c>
      <c r="K92" s="209">
        <f>'Politika 4'!M15</f>
        <v>0</v>
      </c>
      <c r="L92" s="204">
        <f>'Politika 4'!U15</f>
        <v>260</v>
      </c>
      <c r="M92" s="204">
        <f>'Politika 4'!V15</f>
        <v>0</v>
      </c>
      <c r="N92" s="204">
        <f>'Politika 4'!W15</f>
        <v>0</v>
      </c>
      <c r="O92" s="204">
        <f>'Politika 4'!X15</f>
        <v>260</v>
      </c>
      <c r="P92" s="204">
        <f>'Politika 4'!Y15</f>
        <v>0</v>
      </c>
      <c r="Q92" s="204">
        <f>'Politika 4'!AG15</f>
        <v>130</v>
      </c>
      <c r="R92" s="204">
        <f>'Politika 4'!AH15</f>
        <v>0</v>
      </c>
      <c r="S92" s="204">
        <f>'Politika 4'!AI15</f>
        <v>0</v>
      </c>
      <c r="T92" s="204">
        <f>'Politika 4'!AJ15</f>
        <v>130</v>
      </c>
      <c r="U92" s="204">
        <f>'Politika 4'!AK15</f>
        <v>0</v>
      </c>
      <c r="V92" s="204">
        <f>'Politika 4'!AS15</f>
        <v>0</v>
      </c>
      <c r="W92" s="204">
        <f>'Politika 4'!AT15</f>
        <v>0</v>
      </c>
      <c r="X92" s="204">
        <f>'Politika 4'!AU15</f>
        <v>0</v>
      </c>
      <c r="Y92" s="204">
        <f>'Politika 4'!AV15</f>
        <v>0</v>
      </c>
      <c r="Z92" s="204">
        <f>'Politika 4'!AW15</f>
        <v>0</v>
      </c>
    </row>
    <row r="93" spans="1:26" s="132" customFormat="1" ht="41.25" customHeight="1" x14ac:dyDescent="0.15">
      <c r="A93" s="43"/>
      <c r="B93" s="33" t="str">
        <f>'Politika 4'!B16</f>
        <v xml:space="preserve">e) Hartimi i modulit/kurrikulës së trajnimit për Kujdesin për Veten dhe jetesën gjysëm të pavarur përfshirë fëmijët të cilët jetojnë pranë Qendrave të Zhvillimit . </v>
      </c>
      <c r="C93" s="29"/>
      <c r="D93" s="29"/>
      <c r="E93" s="29"/>
      <c r="F93" s="187"/>
      <c r="G93" s="187"/>
      <c r="H93" s="209">
        <f>'Politika 4'!J16</f>
        <v>390</v>
      </c>
      <c r="I93" s="209">
        <f>'Politika 4'!K16</f>
        <v>0</v>
      </c>
      <c r="J93" s="209">
        <f>'Politika 4'!L16</f>
        <v>390</v>
      </c>
      <c r="K93" s="209">
        <f>'Politika 4'!M16</f>
        <v>0</v>
      </c>
      <c r="L93" s="204">
        <f>'Politika 4'!U16</f>
        <v>390</v>
      </c>
      <c r="M93" s="204">
        <f>'Politika 4'!V16</f>
        <v>0</v>
      </c>
      <c r="N93" s="204">
        <f>'Politika 4'!W16</f>
        <v>0</v>
      </c>
      <c r="O93" s="204">
        <f>'Politika 4'!X16</f>
        <v>390</v>
      </c>
      <c r="P93" s="204">
        <f>'Politika 4'!Y16</f>
        <v>0</v>
      </c>
      <c r="Q93" s="204">
        <f>'Politika 4'!AG16</f>
        <v>0</v>
      </c>
      <c r="R93" s="204">
        <f>'Politika 4'!AH16</f>
        <v>0</v>
      </c>
      <c r="S93" s="204">
        <f>'Politika 4'!AI16</f>
        <v>0</v>
      </c>
      <c r="T93" s="204">
        <f>'Politika 4'!AJ16</f>
        <v>0</v>
      </c>
      <c r="U93" s="204">
        <f>'Politika 4'!AK16</f>
        <v>0</v>
      </c>
      <c r="V93" s="204">
        <f>'Politika 4'!AS16</f>
        <v>0</v>
      </c>
      <c r="W93" s="204">
        <f>'Politika 4'!AT16</f>
        <v>0</v>
      </c>
      <c r="X93" s="204">
        <f>'Politika 4'!AU16</f>
        <v>0</v>
      </c>
      <c r="Y93" s="204">
        <f>'Politika 4'!AV16</f>
        <v>0</v>
      </c>
      <c r="Z93" s="204">
        <f>'Politika 4'!AW16</f>
        <v>0</v>
      </c>
    </row>
    <row r="94" spans="1:26" s="4" customFormat="1" ht="52.5" customHeight="1" x14ac:dyDescent="0.2">
      <c r="A94" s="43"/>
      <c r="B94" s="33" t="str">
        <f>'Politika 4'!B17</f>
        <v>f) Rishikimi i kurrikulës dhe vlerësimit të nevojave nga ana e MSHMS-së dhe rishikimi/finalizimi ,sipas komenteve dhe sugjerimeve për fëmijët rezidentë në Qendrat e Zhvillimit.</v>
      </c>
      <c r="C94" s="29" t="s">
        <v>84</v>
      </c>
      <c r="D94" s="29" t="s">
        <v>95</v>
      </c>
      <c r="E94" s="29" t="s">
        <v>21</v>
      </c>
      <c r="F94" s="187" t="s">
        <v>10</v>
      </c>
      <c r="G94" s="187"/>
      <c r="H94" s="209">
        <f>'Politika 4'!J17</f>
        <v>311</v>
      </c>
      <c r="I94" s="209">
        <f>'Politika 4'!K17</f>
        <v>311</v>
      </c>
      <c r="J94" s="209">
        <f>'Politika 4'!L17</f>
        <v>0</v>
      </c>
      <c r="K94" s="209">
        <f>'Politika 4'!M17</f>
        <v>0</v>
      </c>
      <c r="L94" s="204">
        <f>'Politika 4'!U17</f>
        <v>311</v>
      </c>
      <c r="M94" s="204">
        <f>'Politika 4'!V17</f>
        <v>311</v>
      </c>
      <c r="N94" s="204">
        <f>'Politika 4'!W17</f>
        <v>0</v>
      </c>
      <c r="O94" s="204">
        <f>'Politika 4'!X17</f>
        <v>0</v>
      </c>
      <c r="P94" s="204">
        <f>'Politika 4'!Y17</f>
        <v>0</v>
      </c>
      <c r="Q94" s="204">
        <f>'Politika 4'!AG17</f>
        <v>0</v>
      </c>
      <c r="R94" s="204">
        <f>'Politika 4'!AH17</f>
        <v>0</v>
      </c>
      <c r="S94" s="204">
        <f>'Politika 4'!AI17</f>
        <v>0</v>
      </c>
      <c r="T94" s="204">
        <f>'Politika 4'!AJ17</f>
        <v>0</v>
      </c>
      <c r="U94" s="204">
        <f>'Politika 4'!AK17</f>
        <v>0</v>
      </c>
      <c r="V94" s="204">
        <f>'Politika 4'!AS17</f>
        <v>0</v>
      </c>
      <c r="W94" s="204">
        <f>'Politika 4'!AT17</f>
        <v>0</v>
      </c>
      <c r="X94" s="204">
        <f>'Politika 4'!AU17</f>
        <v>0</v>
      </c>
      <c r="Y94" s="204">
        <f>'Politika 4'!AV17</f>
        <v>0</v>
      </c>
      <c r="Z94" s="204">
        <f>'Politika 4'!AW17</f>
        <v>0</v>
      </c>
    </row>
    <row r="95" spans="1:26" s="4" customFormat="1" ht="40.5" customHeight="1" x14ac:dyDescent="0.2">
      <c r="A95" s="8"/>
      <c r="B95" s="33" t="str">
        <f>'Politika 4'!B18</f>
        <v>g) Ngritja e kapaciteteve të bashkive për të zbatuar programe për fuqizimin e familjes (planifikimi, buxhetimi dhe mobilizimi i burimeve komunitare)</v>
      </c>
      <c r="C95" s="29" t="s">
        <v>84</v>
      </c>
      <c r="D95" s="29" t="s">
        <v>95</v>
      </c>
      <c r="E95" s="29" t="s">
        <v>21</v>
      </c>
      <c r="F95" s="187" t="s">
        <v>10</v>
      </c>
      <c r="G95" s="187"/>
      <c r="H95" s="209">
        <f>'Politika 4'!J18</f>
        <v>300</v>
      </c>
      <c r="I95" s="209">
        <f>'Politika 4'!K18</f>
        <v>0</v>
      </c>
      <c r="J95" s="209">
        <f>'Politika 4'!L18</f>
        <v>300</v>
      </c>
      <c r="K95" s="209">
        <f>'Politika 4'!M18</f>
        <v>0</v>
      </c>
      <c r="L95" s="204">
        <f>'Politika 4'!U18</f>
        <v>120</v>
      </c>
      <c r="M95" s="204">
        <f>'Politika 4'!V18</f>
        <v>0</v>
      </c>
      <c r="N95" s="204">
        <f>'Politika 4'!W18</f>
        <v>0</v>
      </c>
      <c r="O95" s="204">
        <f>'Politika 4'!X18</f>
        <v>120</v>
      </c>
      <c r="P95" s="204">
        <f>'Politika 4'!Y18</f>
        <v>0</v>
      </c>
      <c r="Q95" s="204">
        <f>'Politika 4'!AG18</f>
        <v>180</v>
      </c>
      <c r="R95" s="204">
        <f>'Politika 4'!AH18</f>
        <v>0</v>
      </c>
      <c r="S95" s="204">
        <f>'Politika 4'!AI18</f>
        <v>0</v>
      </c>
      <c r="T95" s="204">
        <f>'Politika 4'!AJ18</f>
        <v>180</v>
      </c>
      <c r="U95" s="204">
        <f>'Politika 4'!AK18</f>
        <v>0</v>
      </c>
      <c r="V95" s="204">
        <f>'Politika 4'!AS18</f>
        <v>0</v>
      </c>
      <c r="W95" s="204">
        <f>'Politika 4'!AT18</f>
        <v>0</v>
      </c>
      <c r="X95" s="204">
        <f>'Politika 4'!AU18</f>
        <v>0</v>
      </c>
      <c r="Y95" s="204">
        <f>'Politika 4'!AV18</f>
        <v>0</v>
      </c>
      <c r="Z95" s="204">
        <f>'Politika 4'!AW18</f>
        <v>0</v>
      </c>
    </row>
    <row r="96" spans="1:26" s="3" customFormat="1" ht="43.5" customHeight="1" x14ac:dyDescent="0.2">
      <c r="A96" s="8"/>
      <c r="B96" s="33" t="str">
        <f>'Politika 4'!B19</f>
        <v>h) Vazhdimi i rritjes së kapaciteteve të strukturave  qendrore dhe vendore për de-Institucionalizimin</v>
      </c>
      <c r="C96" s="29" t="s">
        <v>84</v>
      </c>
      <c r="D96" s="29" t="s">
        <v>95</v>
      </c>
      <c r="E96" s="13" t="s">
        <v>117</v>
      </c>
      <c r="F96" s="189" t="s">
        <v>12</v>
      </c>
      <c r="G96" s="189"/>
      <c r="H96" s="209">
        <f>'Politika 4'!J19</f>
        <v>1155</v>
      </c>
      <c r="I96" s="209">
        <f>'Politika 4'!K19</f>
        <v>1155</v>
      </c>
      <c r="J96" s="209">
        <f>'Politika 4'!L19</f>
        <v>0</v>
      </c>
      <c r="K96" s="209">
        <f>'Politika 4'!M19</f>
        <v>0</v>
      </c>
      <c r="L96" s="204">
        <f>'Politika 4'!U19</f>
        <v>385</v>
      </c>
      <c r="M96" s="204">
        <f>'Politika 4'!V19</f>
        <v>385</v>
      </c>
      <c r="N96" s="204">
        <f>'Politika 4'!W19</f>
        <v>0</v>
      </c>
      <c r="O96" s="204">
        <f>'Politika 4'!X19</f>
        <v>0</v>
      </c>
      <c r="P96" s="204">
        <f>'Politika 4'!Y19</f>
        <v>0</v>
      </c>
      <c r="Q96" s="204">
        <f>'Politika 4'!AG19</f>
        <v>385</v>
      </c>
      <c r="R96" s="204">
        <f>'Politika 4'!AH19</f>
        <v>385</v>
      </c>
      <c r="S96" s="204">
        <f>'Politika 4'!AI19</f>
        <v>0</v>
      </c>
      <c r="T96" s="204">
        <f>'Politika 4'!AJ19</f>
        <v>0</v>
      </c>
      <c r="U96" s="204">
        <f>'Politika 4'!AK19</f>
        <v>0</v>
      </c>
      <c r="V96" s="204">
        <f>'Politika 4'!AS19</f>
        <v>385</v>
      </c>
      <c r="W96" s="204">
        <f>'Politika 4'!AT19</f>
        <v>385</v>
      </c>
      <c r="X96" s="204">
        <f>'Politika 4'!AU19</f>
        <v>0</v>
      </c>
      <c r="Y96" s="204">
        <f>'Politika 4'!AV19</f>
        <v>0</v>
      </c>
      <c r="Z96" s="204">
        <f>'Politika 4'!AW19</f>
        <v>0</v>
      </c>
    </row>
    <row r="97" spans="1:26" s="3" customFormat="1" ht="46.5" customHeight="1" x14ac:dyDescent="0.2">
      <c r="A97" s="8"/>
      <c r="B97" s="33" t="str">
        <f>'Politika 4'!B20</f>
        <v>i) Prezantimi dhe orientimi i programit të trajnimieve për punonjësit socialë dhe psikologët. Ngritjae kapaciteteve të të gjithë aktorëve të përfshirë në parandalimin e braktisjess së foshnjave, nëpërmjet sesioneve informuese, trajnimeve fillestare e në vazhdim, zhvillimi dhe ofrimi i supervizimit dhe mentorimit profesional,</v>
      </c>
      <c r="C97" s="29" t="s">
        <v>84</v>
      </c>
      <c r="D97" s="29" t="s">
        <v>95</v>
      </c>
      <c r="E97" s="13" t="s">
        <v>9</v>
      </c>
      <c r="F97" s="189" t="s">
        <v>12</v>
      </c>
      <c r="G97" s="189"/>
      <c r="H97" s="209">
        <f>'Politika 4'!J20</f>
        <v>885</v>
      </c>
      <c r="I97" s="209">
        <f>'Politika 4'!K20</f>
        <v>0</v>
      </c>
      <c r="J97" s="209">
        <f>'Politika 4'!L20</f>
        <v>885</v>
      </c>
      <c r="K97" s="209">
        <f>'Politika 4'!M20</f>
        <v>0</v>
      </c>
      <c r="L97" s="204">
        <f>'Politika 4'!U20</f>
        <v>0</v>
      </c>
      <c r="M97" s="204">
        <f>'Politika 4'!V20</f>
        <v>0</v>
      </c>
      <c r="N97" s="204">
        <f>'Politika 4'!W20</f>
        <v>0</v>
      </c>
      <c r="O97" s="204">
        <f>'Politika 4'!X20</f>
        <v>0</v>
      </c>
      <c r="P97" s="204">
        <f>'Politika 4'!Y20</f>
        <v>0</v>
      </c>
      <c r="Q97" s="204">
        <f>'Politika 4'!AG20</f>
        <v>885</v>
      </c>
      <c r="R97" s="204">
        <f>'Politika 4'!AH20</f>
        <v>0</v>
      </c>
      <c r="S97" s="204">
        <f>'Politika 4'!AI20</f>
        <v>0</v>
      </c>
      <c r="T97" s="204">
        <f>'Politika 4'!AJ20</f>
        <v>885</v>
      </c>
      <c r="U97" s="204">
        <f>'Politika 4'!AK20</f>
        <v>0</v>
      </c>
      <c r="V97" s="204">
        <f>'Politika 4'!AS20</f>
        <v>0</v>
      </c>
      <c r="W97" s="204">
        <f>'Politika 4'!AT20</f>
        <v>0</v>
      </c>
      <c r="X97" s="204">
        <f>'Politika 4'!AU20</f>
        <v>0</v>
      </c>
      <c r="Y97" s="204">
        <f>'Politika 4'!AV20</f>
        <v>0</v>
      </c>
      <c r="Z97" s="204">
        <f>'Politika 4'!AW20</f>
        <v>0</v>
      </c>
    </row>
    <row r="98" spans="1:26" s="3" customFormat="1" ht="30.75" customHeight="1" x14ac:dyDescent="0.2">
      <c r="A98" s="29"/>
      <c r="B98" s="33" t="str">
        <f>'Politika 4'!B21</f>
        <v>j) Trajnime të stafit që do të ofrojë shërbimet, si dhe ritrajnime të stafit aktual të IPSH-ve (zhvillimi i fëmijës, manaxhimi i ndryshimit, ofrimi i shërbimeve të reja)</v>
      </c>
      <c r="C98" s="29" t="s">
        <v>84</v>
      </c>
      <c r="D98" s="29" t="s">
        <v>95</v>
      </c>
      <c r="E98" s="6" t="s">
        <v>116</v>
      </c>
      <c r="F98" s="194" t="s">
        <v>12</v>
      </c>
      <c r="G98" s="194"/>
      <c r="H98" s="209">
        <f>'Politika 4'!J21</f>
        <v>240</v>
      </c>
      <c r="I98" s="209">
        <f>'Politika 4'!K21</f>
        <v>0</v>
      </c>
      <c r="J98" s="209">
        <f>'Politika 4'!L21</f>
        <v>240</v>
      </c>
      <c r="K98" s="209">
        <f>'Politika 4'!M21</f>
        <v>0</v>
      </c>
      <c r="L98" s="204">
        <f>'Politika 4'!U21</f>
        <v>240</v>
      </c>
      <c r="M98" s="204">
        <f>'Politika 4'!V21</f>
        <v>0</v>
      </c>
      <c r="N98" s="204">
        <f>'Politika 4'!W21</f>
        <v>0</v>
      </c>
      <c r="O98" s="204">
        <f>'Politika 4'!X21</f>
        <v>240</v>
      </c>
      <c r="P98" s="204">
        <f>'Politika 4'!Y21</f>
        <v>0</v>
      </c>
      <c r="Q98" s="204">
        <f>'Politika 4'!AG21</f>
        <v>0</v>
      </c>
      <c r="R98" s="204">
        <f>'Politika 4'!AH21</f>
        <v>0</v>
      </c>
      <c r="S98" s="204">
        <f>'Politika 4'!AI21</f>
        <v>0</v>
      </c>
      <c r="T98" s="204">
        <f>'Politika 4'!AJ21</f>
        <v>0</v>
      </c>
      <c r="U98" s="204">
        <f>'Politika 4'!AK21</f>
        <v>0</v>
      </c>
      <c r="V98" s="204">
        <f>'Politika 4'!AS21</f>
        <v>0</v>
      </c>
      <c r="W98" s="204">
        <f>'Politika 4'!AT21</f>
        <v>0</v>
      </c>
      <c r="X98" s="204">
        <f>'Politika 4'!AU21</f>
        <v>0</v>
      </c>
      <c r="Y98" s="204">
        <f>'Politika 4'!AV21</f>
        <v>0</v>
      </c>
      <c r="Z98" s="204">
        <f>'Politika 4'!AW21</f>
        <v>0</v>
      </c>
    </row>
    <row r="99" spans="1:26" ht="18" customHeight="1" x14ac:dyDescent="0.15">
      <c r="A99" s="8"/>
      <c r="B99" s="33" t="str">
        <f>'Politika 4'!B22</f>
        <v xml:space="preserve">k) Organizimi i trajnimit të personelit në çdo Qender Zhvillimi. </v>
      </c>
      <c r="C99" s="48"/>
      <c r="D99" s="48"/>
      <c r="E99" s="48"/>
      <c r="F99" s="188"/>
      <c r="G99" s="187"/>
      <c r="H99" s="209">
        <f>'Politika 4'!J22</f>
        <v>300</v>
      </c>
      <c r="I99" s="209">
        <f>'Politika 4'!K22</f>
        <v>0</v>
      </c>
      <c r="J99" s="209">
        <f>'Politika 4'!L22</f>
        <v>300</v>
      </c>
      <c r="K99" s="209">
        <f>'Politika 4'!M22</f>
        <v>0</v>
      </c>
      <c r="L99" s="204">
        <f>'Politika 4'!U22</f>
        <v>0</v>
      </c>
      <c r="M99" s="204">
        <f>'Politika 4'!V22</f>
        <v>0</v>
      </c>
      <c r="N99" s="204">
        <f>'Politika 4'!W22</f>
        <v>0</v>
      </c>
      <c r="O99" s="204">
        <f>'Politika 4'!X22</f>
        <v>0</v>
      </c>
      <c r="P99" s="204">
        <f>'Politika 4'!Y22</f>
        <v>0</v>
      </c>
      <c r="Q99" s="204">
        <f>'Politika 4'!AG22</f>
        <v>300</v>
      </c>
      <c r="R99" s="204">
        <f>'Politika 4'!AH22</f>
        <v>0</v>
      </c>
      <c r="S99" s="204">
        <f>'Politika 4'!AI22</f>
        <v>0</v>
      </c>
      <c r="T99" s="204">
        <f>'Politika 4'!AJ22</f>
        <v>300</v>
      </c>
      <c r="U99" s="204">
        <f>'Politika 4'!AK22</f>
        <v>0</v>
      </c>
      <c r="V99" s="204">
        <f>'Politika 4'!AS22</f>
        <v>0</v>
      </c>
      <c r="W99" s="204">
        <f>'Politika 4'!AT22</f>
        <v>0</v>
      </c>
      <c r="X99" s="204">
        <f>'Politika 4'!AU22</f>
        <v>0</v>
      </c>
      <c r="Y99" s="204">
        <f>'Politika 4'!AV22</f>
        <v>0</v>
      </c>
      <c r="Z99" s="204">
        <f>'Politika 4'!AW22</f>
        <v>0</v>
      </c>
    </row>
    <row r="100" spans="1:26" s="2" customFormat="1" ht="19.5" customHeight="1" x14ac:dyDescent="0.2">
      <c r="A100" s="8"/>
      <c r="B100" s="33" t="str">
        <f>'Politika 4'!B23</f>
        <v>l) Organizimi i sesioneve të trajnimeve me kujdestarë alternativ të mundshëm</v>
      </c>
      <c r="C100" s="29" t="s">
        <v>84</v>
      </c>
      <c r="D100" s="29" t="s">
        <v>94</v>
      </c>
      <c r="E100" s="29" t="s">
        <v>9</v>
      </c>
      <c r="F100" s="187" t="s">
        <v>23</v>
      </c>
      <c r="G100" s="187"/>
      <c r="H100" s="209">
        <f>'Politika 4'!J23</f>
        <v>480</v>
      </c>
      <c r="I100" s="209">
        <f>'Politika 4'!K23</f>
        <v>0</v>
      </c>
      <c r="J100" s="209">
        <f>'Politika 4'!L23</f>
        <v>480</v>
      </c>
      <c r="K100" s="209">
        <f>'Politika 4'!M23</f>
        <v>0</v>
      </c>
      <c r="L100" s="204">
        <f>'Politika 4'!U23</f>
        <v>120</v>
      </c>
      <c r="M100" s="204">
        <f>'Politika 4'!V23</f>
        <v>0</v>
      </c>
      <c r="N100" s="204">
        <f>'Politika 4'!W23</f>
        <v>0</v>
      </c>
      <c r="O100" s="204">
        <f>'Politika 4'!X23</f>
        <v>120</v>
      </c>
      <c r="P100" s="204">
        <f>'Politika 4'!Y23</f>
        <v>0</v>
      </c>
      <c r="Q100" s="204">
        <f>'Politika 4'!AG23</f>
        <v>360</v>
      </c>
      <c r="R100" s="204">
        <f>'Politika 4'!AH23</f>
        <v>0</v>
      </c>
      <c r="S100" s="204">
        <f>'Politika 4'!AI23</f>
        <v>0</v>
      </c>
      <c r="T100" s="204">
        <f>'Politika 4'!AJ23</f>
        <v>360</v>
      </c>
      <c r="U100" s="204">
        <f>'Politika 4'!AK23</f>
        <v>0</v>
      </c>
      <c r="V100" s="204">
        <f>'Politika 4'!AS23</f>
        <v>0</v>
      </c>
      <c r="W100" s="204">
        <f>'Politika 4'!AT23</f>
        <v>0</v>
      </c>
      <c r="X100" s="204">
        <f>'Politika 4'!AU23</f>
        <v>0</v>
      </c>
      <c r="Y100" s="204">
        <f>'Politika 4'!AV23</f>
        <v>0</v>
      </c>
      <c r="Z100" s="204">
        <f>'Politika 4'!AW23</f>
        <v>0</v>
      </c>
    </row>
    <row r="101" spans="1:26" s="2" customFormat="1" ht="25.5" customHeight="1" x14ac:dyDescent="0.2">
      <c r="A101" s="8"/>
      <c r="B101" s="33" t="str">
        <f>'Politika 4'!B24</f>
        <v>m)  Hartimi i një udhëzuesi praktik dhe rritja e kapaciteteve te ShsSh për monitorimin e shërbimeve të kujdesit shoqëror</v>
      </c>
      <c r="C101" s="29" t="s">
        <v>74</v>
      </c>
      <c r="D101" s="29" t="s">
        <v>88</v>
      </c>
      <c r="E101" s="29" t="s">
        <v>14</v>
      </c>
      <c r="F101" s="187" t="s">
        <v>10</v>
      </c>
      <c r="G101" s="187"/>
      <c r="H101" s="209">
        <f>'Politika 4'!J24</f>
        <v>380</v>
      </c>
      <c r="I101" s="209">
        <f>'Politika 4'!K24</f>
        <v>0</v>
      </c>
      <c r="J101" s="209">
        <f>'Politika 4'!L24</f>
        <v>380</v>
      </c>
      <c r="K101" s="209">
        <f>'Politika 4'!M24</f>
        <v>0</v>
      </c>
      <c r="L101" s="204">
        <f>'Politika 4'!U24</f>
        <v>380</v>
      </c>
      <c r="M101" s="204">
        <f>'Politika 4'!V24</f>
        <v>0</v>
      </c>
      <c r="N101" s="204">
        <f>'Politika 4'!W24</f>
        <v>0</v>
      </c>
      <c r="O101" s="204">
        <f>'Politika 4'!X24</f>
        <v>380</v>
      </c>
      <c r="P101" s="204">
        <f>'Politika 4'!Y24</f>
        <v>0</v>
      </c>
      <c r="Q101" s="204">
        <f>'Politika 4'!AG24</f>
        <v>0</v>
      </c>
      <c r="R101" s="204">
        <f>'Politika 4'!AH24</f>
        <v>0</v>
      </c>
      <c r="S101" s="204">
        <f>'Politika 4'!AI24</f>
        <v>0</v>
      </c>
      <c r="T101" s="204">
        <f>'Politika 4'!AJ24</f>
        <v>0</v>
      </c>
      <c r="U101" s="204">
        <f>'Politika 4'!AK24</f>
        <v>0</v>
      </c>
      <c r="V101" s="204">
        <f>'Politika 4'!AS24</f>
        <v>0</v>
      </c>
      <c r="W101" s="204">
        <f>'Politika 4'!AT24</f>
        <v>0</v>
      </c>
      <c r="X101" s="204">
        <f>'Politika 4'!AU24</f>
        <v>0</v>
      </c>
      <c r="Y101" s="204">
        <f>'Politika 4'!AV24</f>
        <v>0</v>
      </c>
      <c r="Z101" s="204">
        <f>'Politika 4'!AW24</f>
        <v>0</v>
      </c>
    </row>
    <row r="102" spans="1:26" s="2" customFormat="1" ht="24.75" customHeight="1" x14ac:dyDescent="0.2">
      <c r="A102" s="8"/>
      <c r="B102" s="33" t="str">
        <f>'Politika 4'!B25</f>
        <v>n) Mentorim dhe supervizim në vazhdim për IPSH-të, Bashkitë SHSSH-në</v>
      </c>
      <c r="C102" s="29" t="s">
        <v>84</v>
      </c>
      <c r="D102" s="29" t="s">
        <v>88</v>
      </c>
      <c r="E102" s="29" t="s">
        <v>21</v>
      </c>
      <c r="F102" s="187" t="s">
        <v>25</v>
      </c>
      <c r="G102" s="187"/>
      <c r="H102" s="209">
        <f>'Politika 4'!J25</f>
        <v>1560</v>
      </c>
      <c r="I102" s="209">
        <f>'Politika 4'!K25</f>
        <v>0</v>
      </c>
      <c r="J102" s="209">
        <f>'Politika 4'!L25</f>
        <v>1560</v>
      </c>
      <c r="K102" s="209">
        <f>'Politika 4'!M25</f>
        <v>0</v>
      </c>
      <c r="L102" s="204">
        <f>'Politika 4'!U25</f>
        <v>520</v>
      </c>
      <c r="M102" s="204">
        <f>'Politika 4'!V25</f>
        <v>0</v>
      </c>
      <c r="N102" s="204">
        <f>'Politika 4'!W25</f>
        <v>0</v>
      </c>
      <c r="O102" s="204">
        <f>'Politika 4'!X25</f>
        <v>520</v>
      </c>
      <c r="P102" s="204">
        <f>'Politika 4'!Y25</f>
        <v>0</v>
      </c>
      <c r="Q102" s="204">
        <f>'Politika 4'!AG25</f>
        <v>520</v>
      </c>
      <c r="R102" s="204">
        <f>'Politika 4'!AH25</f>
        <v>0</v>
      </c>
      <c r="S102" s="204">
        <f>'Politika 4'!AI25</f>
        <v>0</v>
      </c>
      <c r="T102" s="204">
        <f>'Politika 4'!AJ25</f>
        <v>520</v>
      </c>
      <c r="U102" s="204">
        <f>'Politika 4'!AK25</f>
        <v>0</v>
      </c>
      <c r="V102" s="204">
        <f>'Politika 4'!AS25</f>
        <v>520</v>
      </c>
      <c r="W102" s="204">
        <f>'Politika 4'!AT25</f>
        <v>0</v>
      </c>
      <c r="X102" s="204">
        <f>'Politika 4'!AU25</f>
        <v>0</v>
      </c>
      <c r="Y102" s="204">
        <f>'Politika 4'!AV25</f>
        <v>520</v>
      </c>
      <c r="Z102" s="204">
        <f>'Politika 4'!AW25</f>
        <v>0</v>
      </c>
    </row>
    <row r="103" spans="1:26" s="2" customFormat="1" ht="57" customHeight="1" x14ac:dyDescent="0.2">
      <c r="A103" s="145"/>
      <c r="B103" s="162" t="s">
        <v>363</v>
      </c>
      <c r="C103" s="29" t="s">
        <v>35</v>
      </c>
      <c r="D103" s="29" t="s">
        <v>101</v>
      </c>
      <c r="E103" s="29" t="s">
        <v>9</v>
      </c>
      <c r="F103" s="187" t="s">
        <v>21</v>
      </c>
      <c r="G103" s="270" t="s">
        <v>461</v>
      </c>
      <c r="H103" s="211">
        <f>SUM(H104:H108)</f>
        <v>2043</v>
      </c>
      <c r="I103" s="211">
        <f t="shared" ref="I103:Z103" si="67">SUM(I104:I108)</f>
        <v>753</v>
      </c>
      <c r="J103" s="211">
        <f t="shared" si="67"/>
        <v>1290</v>
      </c>
      <c r="K103" s="211">
        <f t="shared" si="67"/>
        <v>0</v>
      </c>
      <c r="L103" s="211">
        <f t="shared" si="67"/>
        <v>973</v>
      </c>
      <c r="M103" s="211">
        <f t="shared" si="67"/>
        <v>323</v>
      </c>
      <c r="N103" s="211">
        <f t="shared" si="67"/>
        <v>0</v>
      </c>
      <c r="O103" s="211">
        <f t="shared" si="67"/>
        <v>780</v>
      </c>
      <c r="P103" s="211">
        <f t="shared" si="67"/>
        <v>0</v>
      </c>
      <c r="Q103" s="211">
        <f t="shared" si="67"/>
        <v>535</v>
      </c>
      <c r="R103" s="211">
        <f t="shared" si="67"/>
        <v>215</v>
      </c>
      <c r="S103" s="211">
        <f t="shared" si="67"/>
        <v>0</v>
      </c>
      <c r="T103" s="211">
        <f t="shared" si="67"/>
        <v>320</v>
      </c>
      <c r="U103" s="211">
        <f t="shared" si="67"/>
        <v>0</v>
      </c>
      <c r="V103" s="211">
        <f t="shared" si="67"/>
        <v>535</v>
      </c>
      <c r="W103" s="211">
        <f t="shared" si="67"/>
        <v>215</v>
      </c>
      <c r="X103" s="211">
        <f t="shared" si="67"/>
        <v>0</v>
      </c>
      <c r="Y103" s="211">
        <f t="shared" si="67"/>
        <v>320</v>
      </c>
      <c r="Z103" s="211">
        <f t="shared" si="67"/>
        <v>0</v>
      </c>
    </row>
    <row r="104" spans="1:26" s="104" customFormat="1" ht="32.25" customHeight="1" x14ac:dyDescent="0.15">
      <c r="A104" s="209"/>
      <c r="B104" s="7" t="str">
        <f>'Politika 4'!B27</f>
        <v>a) Hartimi dhe miratimi i strategjisë kombëtare të komunikimit për de-Institucionalizimin</v>
      </c>
      <c r="C104" s="30" t="s">
        <v>74</v>
      </c>
      <c r="D104" s="29" t="s">
        <v>88</v>
      </c>
      <c r="E104" s="30" t="s">
        <v>9</v>
      </c>
      <c r="F104" s="195" t="s">
        <v>12</v>
      </c>
      <c r="G104" s="195"/>
      <c r="H104" s="209">
        <f>'Politika 4'!J27</f>
        <v>238</v>
      </c>
      <c r="I104" s="209">
        <f>'Politika 4'!K27</f>
        <v>108</v>
      </c>
      <c r="J104" s="209">
        <f>'Politika 4'!L27</f>
        <v>130</v>
      </c>
      <c r="K104" s="209">
        <f>'Politika 4'!M27</f>
        <v>0</v>
      </c>
      <c r="L104" s="204">
        <f>'Politika 4'!U27</f>
        <v>238</v>
      </c>
      <c r="M104" s="204">
        <f>'Politika 4'!V27</f>
        <v>108</v>
      </c>
      <c r="N104" s="204">
        <f>'Politika 4'!W27</f>
        <v>0</v>
      </c>
      <c r="O104" s="204">
        <f>'Politika 4'!X27</f>
        <v>260</v>
      </c>
      <c r="P104" s="204">
        <f>'Politika 4'!Y27</f>
        <v>0</v>
      </c>
      <c r="Q104" s="204">
        <f>'Politika 4'!AG27</f>
        <v>0</v>
      </c>
      <c r="R104" s="204">
        <f>'Politika 4'!AH27</f>
        <v>0</v>
      </c>
      <c r="S104" s="204">
        <f>'Politika 4'!AI27</f>
        <v>0</v>
      </c>
      <c r="T104" s="204">
        <f>'Politika 4'!AJ27</f>
        <v>0</v>
      </c>
      <c r="U104" s="204">
        <f>'Politika 4'!AK27</f>
        <v>0</v>
      </c>
      <c r="V104" s="204">
        <f>'Politika 4'!AS27</f>
        <v>0</v>
      </c>
      <c r="W104" s="204">
        <f>'Politika 4'!AT27</f>
        <v>0</v>
      </c>
      <c r="X104" s="204">
        <f>'Politika 4'!AU27</f>
        <v>0</v>
      </c>
      <c r="Y104" s="204">
        <f>'Politika 4'!AV27</f>
        <v>0</v>
      </c>
      <c r="Z104" s="204">
        <f>'Politika 4'!AW27</f>
        <v>0</v>
      </c>
    </row>
    <row r="105" spans="1:26" s="132" customFormat="1" ht="42.75" customHeight="1" x14ac:dyDescent="0.15">
      <c r="A105" s="29"/>
      <c r="B105" s="7" t="str">
        <f>'Politika 4'!B28</f>
        <v>b)  Konferencë ose Takim ndërinstitucional   i nivelit të lartë për njohjen me planin kombëtar  dhe çshtje të De-Institucionalizimit</v>
      </c>
      <c r="C105" s="29" t="s">
        <v>74</v>
      </c>
      <c r="D105" s="29" t="s">
        <v>144</v>
      </c>
      <c r="E105" s="29" t="s">
        <v>9</v>
      </c>
      <c r="F105" s="187" t="s">
        <v>12</v>
      </c>
      <c r="G105" s="187"/>
      <c r="H105" s="209">
        <f>'Politika 4'!J28</f>
        <v>200</v>
      </c>
      <c r="I105" s="209">
        <f>'Politika 4'!K28</f>
        <v>0</v>
      </c>
      <c r="J105" s="209">
        <f>'Politika 4'!L28</f>
        <v>200</v>
      </c>
      <c r="K105" s="209">
        <f>'Politika 4'!M28</f>
        <v>0</v>
      </c>
      <c r="L105" s="204">
        <f>'Politika 4'!U28</f>
        <v>200</v>
      </c>
      <c r="M105" s="204">
        <f>'Politika 4'!V28</f>
        <v>0</v>
      </c>
      <c r="N105" s="204">
        <f>'Politika 4'!W28</f>
        <v>0</v>
      </c>
      <c r="O105" s="204">
        <f>'Politika 4'!X28</f>
        <v>200</v>
      </c>
      <c r="P105" s="204">
        <f>'Politika 4'!Y28</f>
        <v>0</v>
      </c>
      <c r="Q105" s="204">
        <f>'Politika 4'!AG28</f>
        <v>0</v>
      </c>
      <c r="R105" s="204">
        <f>'Politika 4'!AH28</f>
        <v>0</v>
      </c>
      <c r="S105" s="204">
        <f>'Politika 4'!AI28</f>
        <v>0</v>
      </c>
      <c r="T105" s="204">
        <f>'Politika 4'!AJ28</f>
        <v>0</v>
      </c>
      <c r="U105" s="204">
        <f>'Politika 4'!AK28</f>
        <v>0</v>
      </c>
      <c r="V105" s="204">
        <f>'Politika 4'!AS28</f>
        <v>0</v>
      </c>
      <c r="W105" s="204">
        <f>'Politika 4'!AT28</f>
        <v>0</v>
      </c>
      <c r="X105" s="204">
        <f>'Politika 4'!AU28</f>
        <v>0</v>
      </c>
      <c r="Y105" s="204">
        <f>'Politika 4'!AV28</f>
        <v>0</v>
      </c>
      <c r="Z105" s="204">
        <f>'Politika 4'!AW28</f>
        <v>0</v>
      </c>
    </row>
    <row r="106" spans="1:26" s="104" customFormat="1" ht="43.5" customHeight="1" x14ac:dyDescent="0.15">
      <c r="A106" s="144"/>
      <c r="B106" s="7" t="str">
        <f>'Politika 4'!B29</f>
        <v>c) Ndërgjegjësimi i Bashkive dhe aktorëve në nivel vendor për rëndësinë e ngritjes dhe funksionimit të kujdesarisë alternative</v>
      </c>
      <c r="C106" s="30" t="s">
        <v>74</v>
      </c>
      <c r="D106" s="29" t="s">
        <v>88</v>
      </c>
      <c r="E106" s="30" t="s">
        <v>9</v>
      </c>
      <c r="F106" s="195" t="s">
        <v>12</v>
      </c>
      <c r="G106" s="195"/>
      <c r="H106" s="209">
        <f>'Politika 4'!J29</f>
        <v>60</v>
      </c>
      <c r="I106" s="209">
        <f>'Politika 4'!K29</f>
        <v>0</v>
      </c>
      <c r="J106" s="209">
        <f>'Politika 4'!L29</f>
        <v>60</v>
      </c>
      <c r="K106" s="209">
        <f>'Politika 4'!M29</f>
        <v>0</v>
      </c>
      <c r="L106" s="204">
        <f>'Politika 4'!U29</f>
        <v>20</v>
      </c>
      <c r="M106" s="204">
        <f>'Politika 4'!V29</f>
        <v>0</v>
      </c>
      <c r="N106" s="204">
        <f>'Politika 4'!W29</f>
        <v>0</v>
      </c>
      <c r="O106" s="204">
        <f>'Politika 4'!X29</f>
        <v>20</v>
      </c>
      <c r="P106" s="204">
        <f>'Politika 4'!Y29</f>
        <v>0</v>
      </c>
      <c r="Q106" s="204">
        <f>'Politika 4'!AG29</f>
        <v>20</v>
      </c>
      <c r="R106" s="204">
        <f>'Politika 4'!AH29</f>
        <v>0</v>
      </c>
      <c r="S106" s="204">
        <f>'Politika 4'!AI29</f>
        <v>0</v>
      </c>
      <c r="T106" s="204">
        <f>'Politika 4'!AJ29</f>
        <v>20</v>
      </c>
      <c r="U106" s="204">
        <f>'Politika 4'!AK29</f>
        <v>0</v>
      </c>
      <c r="V106" s="204">
        <f>'Politika 4'!AS29</f>
        <v>20</v>
      </c>
      <c r="W106" s="204">
        <f>'Politika 4'!AT29</f>
        <v>0</v>
      </c>
      <c r="X106" s="204">
        <f>'Politika 4'!AU29</f>
        <v>0</v>
      </c>
      <c r="Y106" s="204">
        <f>'Politika 4'!AV29</f>
        <v>20</v>
      </c>
      <c r="Z106" s="204">
        <f>'Politika 4'!AW29</f>
        <v>0</v>
      </c>
    </row>
    <row r="107" spans="1:26" s="104" customFormat="1" ht="42.75" customHeight="1" x14ac:dyDescent="0.15">
      <c r="A107" s="29"/>
      <c r="B107" s="7" t="str">
        <f>'Politika 4'!B30</f>
        <v>d) Organizimi i fushatave të komunikimit  dhe takimeve informuese me institucionet, komunitetet dhe njerëzit e interesuar.</v>
      </c>
      <c r="C107" s="30" t="s">
        <v>74</v>
      </c>
      <c r="D107" s="29" t="s">
        <v>88</v>
      </c>
      <c r="E107" s="30" t="s">
        <v>9</v>
      </c>
      <c r="F107" s="195" t="s">
        <v>12</v>
      </c>
      <c r="G107" s="195"/>
      <c r="H107" s="209">
        <f>'Politika 4'!J30</f>
        <v>900</v>
      </c>
      <c r="I107" s="209">
        <f>'Politika 4'!K30</f>
        <v>0</v>
      </c>
      <c r="J107" s="209">
        <f>'Politika 4'!L30</f>
        <v>900</v>
      </c>
      <c r="K107" s="209">
        <f>'Politika 4'!M30</f>
        <v>0</v>
      </c>
      <c r="L107" s="204">
        <f>'Politika 4'!U30</f>
        <v>300</v>
      </c>
      <c r="M107" s="204">
        <f>'Politika 4'!V30</f>
        <v>0</v>
      </c>
      <c r="N107" s="204">
        <f>'Politika 4'!W30</f>
        <v>0</v>
      </c>
      <c r="O107" s="204">
        <f>'Politika 4'!X30</f>
        <v>300</v>
      </c>
      <c r="P107" s="204">
        <f>'Politika 4'!Y30</f>
        <v>0</v>
      </c>
      <c r="Q107" s="204">
        <f>'Politika 4'!AG30</f>
        <v>300</v>
      </c>
      <c r="R107" s="204">
        <f>'Politika 4'!AH30</f>
        <v>0</v>
      </c>
      <c r="S107" s="204">
        <f>'Politika 4'!AI30</f>
        <v>0</v>
      </c>
      <c r="T107" s="204">
        <f>'Politika 4'!AJ30</f>
        <v>300</v>
      </c>
      <c r="U107" s="204">
        <f>'Politika 4'!AK30</f>
        <v>0</v>
      </c>
      <c r="V107" s="204">
        <f>'Politika 4'!AS30</f>
        <v>300</v>
      </c>
      <c r="W107" s="204">
        <f>'Politika 4'!AT30</f>
        <v>0</v>
      </c>
      <c r="X107" s="204">
        <f>'Politika 4'!AU30</f>
        <v>0</v>
      </c>
      <c r="Y107" s="204">
        <f>'Politika 4'!AV30</f>
        <v>300</v>
      </c>
      <c r="Z107" s="204">
        <f>'Politika 4'!AW30</f>
        <v>0</v>
      </c>
    </row>
    <row r="108" spans="1:26" s="104" customFormat="1" ht="59.25" customHeight="1" x14ac:dyDescent="0.15">
      <c r="A108" s="8"/>
      <c r="B108" s="7" t="str">
        <f>'Politika 4'!B31</f>
        <v>e) Organizimi i aktiviteteve informuese dhe ndërgjegjësuese në vazhdimësi, për parandalimin e braktisjes/lënies dhe mbështetjen e hershme. Zbatimi në tërësi i strategjisë dhe aktiviteteve të komunikimi</v>
      </c>
      <c r="C108" s="30" t="s">
        <v>74</v>
      </c>
      <c r="D108" s="29" t="s">
        <v>88</v>
      </c>
      <c r="E108" s="30" t="s">
        <v>9</v>
      </c>
      <c r="F108" s="195" t="s">
        <v>12</v>
      </c>
      <c r="G108" s="189" t="s">
        <v>462</v>
      </c>
      <c r="H108" s="209">
        <f>'Politika 4'!J31</f>
        <v>645</v>
      </c>
      <c r="I108" s="209">
        <f>'Politika 4'!K31</f>
        <v>645</v>
      </c>
      <c r="J108" s="209">
        <f>'Politika 4'!L31</f>
        <v>0</v>
      </c>
      <c r="K108" s="209">
        <f>'Politika 4'!M31</f>
        <v>0</v>
      </c>
      <c r="L108" s="204">
        <f>'Politika 4'!U31</f>
        <v>215</v>
      </c>
      <c r="M108" s="204">
        <f>'Politika 4'!V31</f>
        <v>215</v>
      </c>
      <c r="N108" s="204">
        <f>'Politika 4'!W31</f>
        <v>0</v>
      </c>
      <c r="O108" s="204">
        <f>'Politika 4'!X31</f>
        <v>0</v>
      </c>
      <c r="P108" s="204">
        <f>'Politika 4'!Y31</f>
        <v>0</v>
      </c>
      <c r="Q108" s="204">
        <f>'Politika 4'!AG31</f>
        <v>215</v>
      </c>
      <c r="R108" s="204">
        <f>'Politika 4'!AH31</f>
        <v>215</v>
      </c>
      <c r="S108" s="204">
        <f>'Politika 4'!AI31</f>
        <v>0</v>
      </c>
      <c r="T108" s="204">
        <f>'Politika 4'!AJ31</f>
        <v>0</v>
      </c>
      <c r="U108" s="204">
        <f>'Politika 4'!AK31</f>
        <v>0</v>
      </c>
      <c r="V108" s="204">
        <f>'Politika 4'!AS31</f>
        <v>215</v>
      </c>
      <c r="W108" s="204">
        <f>'Politika 4'!AT31</f>
        <v>215</v>
      </c>
      <c r="X108" s="204">
        <f>'Politika 4'!AU31</f>
        <v>0</v>
      </c>
      <c r="Y108" s="204">
        <f>'Politika 4'!AV31</f>
        <v>0</v>
      </c>
      <c r="Z108" s="204">
        <f>'Politika 4'!AW31</f>
        <v>0</v>
      </c>
    </row>
    <row r="109" spans="1:26" s="132" customFormat="1" ht="45.75" customHeight="1" x14ac:dyDescent="0.15">
      <c r="A109" s="46">
        <v>5</v>
      </c>
      <c r="B109" s="173" t="s">
        <v>251</v>
      </c>
      <c r="C109" s="29" t="s">
        <v>74</v>
      </c>
      <c r="D109" s="29" t="s">
        <v>88</v>
      </c>
      <c r="E109" s="29" t="s">
        <v>9</v>
      </c>
      <c r="F109" s="187" t="s">
        <v>12</v>
      </c>
      <c r="G109" s="352" t="s">
        <v>327</v>
      </c>
      <c r="H109" s="222">
        <f>H110+H118</f>
        <v>4243</v>
      </c>
      <c r="I109" s="222">
        <f t="shared" ref="I109:Z109" si="68">I110+I118</f>
        <v>1505</v>
      </c>
      <c r="J109" s="222">
        <f t="shared" si="68"/>
        <v>2738</v>
      </c>
      <c r="K109" s="222">
        <f t="shared" si="68"/>
        <v>0</v>
      </c>
      <c r="L109" s="222">
        <f t="shared" si="68"/>
        <v>1061</v>
      </c>
      <c r="M109" s="222">
        <f t="shared" si="68"/>
        <v>283</v>
      </c>
      <c r="N109" s="222">
        <f t="shared" si="68"/>
        <v>0</v>
      </c>
      <c r="O109" s="222">
        <f t="shared" si="68"/>
        <v>778</v>
      </c>
      <c r="P109" s="222">
        <f t="shared" si="68"/>
        <v>0</v>
      </c>
      <c r="Q109" s="222">
        <f t="shared" si="68"/>
        <v>1591</v>
      </c>
      <c r="R109" s="222">
        <f t="shared" si="68"/>
        <v>611</v>
      </c>
      <c r="S109" s="222">
        <f t="shared" si="68"/>
        <v>0</v>
      </c>
      <c r="T109" s="222">
        <f t="shared" si="68"/>
        <v>980</v>
      </c>
      <c r="U109" s="222">
        <f t="shared" si="68"/>
        <v>0</v>
      </c>
      <c r="V109" s="222">
        <f t="shared" si="68"/>
        <v>1591</v>
      </c>
      <c r="W109" s="222">
        <f t="shared" si="68"/>
        <v>611</v>
      </c>
      <c r="X109" s="222">
        <f t="shared" si="68"/>
        <v>0</v>
      </c>
      <c r="Y109" s="222">
        <f t="shared" si="68"/>
        <v>980</v>
      </c>
      <c r="Z109" s="222">
        <f t="shared" si="68"/>
        <v>0</v>
      </c>
    </row>
    <row r="110" spans="1:26" s="104" customFormat="1" ht="37.5" customHeight="1" x14ac:dyDescent="0.15">
      <c r="A110" s="145"/>
      <c r="B110" s="159" t="s">
        <v>365</v>
      </c>
      <c r="C110" s="30" t="s">
        <v>74</v>
      </c>
      <c r="D110" s="29" t="s">
        <v>88</v>
      </c>
      <c r="E110" s="30" t="s">
        <v>9</v>
      </c>
      <c r="F110" s="195" t="s">
        <v>12</v>
      </c>
      <c r="G110" s="260"/>
      <c r="H110" s="211">
        <f>SUM(H111:H117)</f>
        <v>654</v>
      </c>
      <c r="I110" s="211">
        <f t="shared" ref="I110:Z110" si="69">SUM(I111:I117)</f>
        <v>0</v>
      </c>
      <c r="J110" s="211">
        <f t="shared" si="69"/>
        <v>654</v>
      </c>
      <c r="K110" s="211">
        <f t="shared" si="69"/>
        <v>0</v>
      </c>
      <c r="L110" s="211">
        <f t="shared" si="69"/>
        <v>222</v>
      </c>
      <c r="M110" s="211">
        <f t="shared" si="69"/>
        <v>0</v>
      </c>
      <c r="N110" s="211">
        <f t="shared" si="69"/>
        <v>0</v>
      </c>
      <c r="O110" s="211">
        <f t="shared" si="69"/>
        <v>222</v>
      </c>
      <c r="P110" s="211">
        <f t="shared" si="69"/>
        <v>0</v>
      </c>
      <c r="Q110" s="211">
        <f t="shared" si="69"/>
        <v>216</v>
      </c>
      <c r="R110" s="211">
        <f t="shared" si="69"/>
        <v>0</v>
      </c>
      <c r="S110" s="211">
        <f t="shared" si="69"/>
        <v>0</v>
      </c>
      <c r="T110" s="211">
        <f t="shared" si="69"/>
        <v>216</v>
      </c>
      <c r="U110" s="211">
        <f t="shared" si="69"/>
        <v>0</v>
      </c>
      <c r="V110" s="211">
        <f t="shared" si="69"/>
        <v>216</v>
      </c>
      <c r="W110" s="211">
        <f t="shared" si="69"/>
        <v>0</v>
      </c>
      <c r="X110" s="211">
        <f t="shared" si="69"/>
        <v>0</v>
      </c>
      <c r="Y110" s="211">
        <f t="shared" si="69"/>
        <v>216</v>
      </c>
      <c r="Z110" s="211">
        <f t="shared" si="69"/>
        <v>0</v>
      </c>
    </row>
    <row r="111" spans="1:26" s="104" customFormat="1" ht="32.25" customHeight="1" x14ac:dyDescent="0.15">
      <c r="A111" s="212"/>
      <c r="B111" s="41" t="str">
        <f>'Politika 5'!B12</f>
        <v>a) Ngritja e komitetit drejtues ndër institucional për zbatimin e planit  kombëtar të De-Institucionalizimit</v>
      </c>
      <c r="C111" s="30" t="s">
        <v>74</v>
      </c>
      <c r="D111" s="29" t="s">
        <v>88</v>
      </c>
      <c r="E111" s="30" t="s">
        <v>9</v>
      </c>
      <c r="F111" s="195" t="s">
        <v>12</v>
      </c>
      <c r="G111" s="195"/>
      <c r="H111" s="209">
        <f>'Politika 5'!J12</f>
        <v>0</v>
      </c>
      <c r="I111" s="209">
        <f>'Politika 5'!K12</f>
        <v>0</v>
      </c>
      <c r="J111" s="209">
        <f>'Politika 5'!L12</f>
        <v>0</v>
      </c>
      <c r="K111" s="209">
        <f>'Politika 5'!M12</f>
        <v>0</v>
      </c>
      <c r="L111" s="204">
        <f>'Politika 5'!U12</f>
        <v>0</v>
      </c>
      <c r="M111" s="204">
        <f>'Politika 5'!V12</f>
        <v>0</v>
      </c>
      <c r="N111" s="204">
        <f>'Politika 5'!W12</f>
        <v>0</v>
      </c>
      <c r="O111" s="204">
        <f>'Politika 5'!X12</f>
        <v>0</v>
      </c>
      <c r="P111" s="204">
        <f>'Politika 5'!Y12</f>
        <v>0</v>
      </c>
      <c r="Q111" s="204">
        <f>'Politika 5'!AG12</f>
        <v>0</v>
      </c>
      <c r="R111" s="204">
        <f>'Politika 5'!AH12</f>
        <v>0</v>
      </c>
      <c r="S111" s="204">
        <f>'Politika 5'!AI12</f>
        <v>0</v>
      </c>
      <c r="T111" s="204">
        <f>'Politika 5'!AJ12</f>
        <v>0</v>
      </c>
      <c r="U111" s="204">
        <f>'Politika 5'!AK12</f>
        <v>0</v>
      </c>
      <c r="V111" s="204">
        <f>'Politika 5'!AS12</f>
        <v>0</v>
      </c>
      <c r="W111" s="204">
        <f>'Politika 5'!AT12</f>
        <v>0</v>
      </c>
      <c r="X111" s="204">
        <f>'Politika 5'!AU12</f>
        <v>0</v>
      </c>
      <c r="Y111" s="204">
        <f>'Politika 5'!AV12</f>
        <v>0</v>
      </c>
      <c r="Z111" s="204">
        <f>'Politika 5'!AW12</f>
        <v>0</v>
      </c>
    </row>
    <row r="112" spans="1:26" s="9" customFormat="1" ht="27.75" customHeight="1" x14ac:dyDescent="0.15">
      <c r="A112" s="8"/>
      <c r="B112" s="41" t="str">
        <f>'Politika 5'!B13</f>
        <v>b) Ngritja e strukturave të koordinimit në nivel vendor në çdo bashki që ka IPSH (6 bashki)</v>
      </c>
      <c r="C112" s="30" t="s">
        <v>114</v>
      </c>
      <c r="D112" s="29" t="s">
        <v>115</v>
      </c>
      <c r="E112" s="30" t="s">
        <v>9</v>
      </c>
      <c r="F112" s="195" t="s">
        <v>12</v>
      </c>
      <c r="G112" s="195"/>
      <c r="H112" s="209">
        <f>'Politika 5'!J13</f>
        <v>60</v>
      </c>
      <c r="I112" s="209">
        <f>'Politika 5'!K13</f>
        <v>0</v>
      </c>
      <c r="J112" s="209">
        <f>'Politika 5'!L13</f>
        <v>60</v>
      </c>
      <c r="K112" s="209">
        <f>'Politika 5'!M13</f>
        <v>0</v>
      </c>
      <c r="L112" s="204">
        <f>'Politika 5'!U13</f>
        <v>60</v>
      </c>
      <c r="M112" s="204">
        <f>'Politika 5'!V13</f>
        <v>0</v>
      </c>
      <c r="N112" s="204">
        <f>'Politika 5'!W13</f>
        <v>0</v>
      </c>
      <c r="O112" s="204">
        <f>'Politika 5'!X13</f>
        <v>60</v>
      </c>
      <c r="P112" s="204">
        <f>'Politika 5'!Y13</f>
        <v>0</v>
      </c>
      <c r="Q112" s="204">
        <f>'Politika 5'!AG13</f>
        <v>0</v>
      </c>
      <c r="R112" s="204">
        <f>'Politika 5'!AH13</f>
        <v>0</v>
      </c>
      <c r="S112" s="204">
        <f>'Politika 5'!AI13</f>
        <v>0</v>
      </c>
      <c r="T112" s="204">
        <f>'Politika 5'!AJ13</f>
        <v>0</v>
      </c>
      <c r="U112" s="204">
        <f>'Politika 5'!AK13</f>
        <v>0</v>
      </c>
      <c r="V112" s="204">
        <f>'Politika 5'!AS13</f>
        <v>0</v>
      </c>
      <c r="W112" s="204">
        <f>'Politika 5'!AT13</f>
        <v>0</v>
      </c>
      <c r="X112" s="204">
        <f>'Politika 5'!AU13</f>
        <v>0</v>
      </c>
      <c r="Y112" s="204">
        <f>'Politika 5'!AV13</f>
        <v>0</v>
      </c>
      <c r="Z112" s="204">
        <f>'Politika 5'!AW13</f>
        <v>0</v>
      </c>
    </row>
    <row r="113" spans="1:26" ht="27" customHeight="1" x14ac:dyDescent="0.15">
      <c r="A113" s="8"/>
      <c r="B113" s="41" t="str">
        <f>'Politika 5'!B14</f>
        <v xml:space="preserve">c) Takime të komtetit drejtues çdo tre muaj </v>
      </c>
      <c r="C113" s="48"/>
      <c r="D113" s="48"/>
      <c r="E113" s="48"/>
      <c r="F113" s="188"/>
      <c r="G113" s="187"/>
      <c r="H113" s="209">
        <f>'Politika 5'!J14</f>
        <v>0</v>
      </c>
      <c r="I113" s="209">
        <f>'Politika 5'!K14</f>
        <v>0</v>
      </c>
      <c r="J113" s="209">
        <f>'Politika 5'!L14</f>
        <v>0</v>
      </c>
      <c r="K113" s="209">
        <f>'Politika 5'!M14</f>
        <v>0</v>
      </c>
      <c r="L113" s="204">
        <f>'Politika 5'!U14</f>
        <v>0</v>
      </c>
      <c r="M113" s="204">
        <f>'Politika 5'!V14</f>
        <v>0</v>
      </c>
      <c r="N113" s="204">
        <f>'Politika 5'!W14</f>
        <v>0</v>
      </c>
      <c r="O113" s="204">
        <f>'Politika 5'!X14</f>
        <v>0</v>
      </c>
      <c r="P113" s="204">
        <f>'Politika 5'!Y14</f>
        <v>0</v>
      </c>
      <c r="Q113" s="204">
        <f>'Politika 5'!AG14</f>
        <v>0</v>
      </c>
      <c r="R113" s="204">
        <f>'Politika 5'!AH14</f>
        <v>0</v>
      </c>
      <c r="S113" s="204">
        <f>'Politika 5'!AI14</f>
        <v>0</v>
      </c>
      <c r="T113" s="204">
        <f>'Politika 5'!AJ14</f>
        <v>0</v>
      </c>
      <c r="U113" s="204">
        <f>'Politika 5'!AK14</f>
        <v>0</v>
      </c>
      <c r="V113" s="204">
        <f>'Politika 5'!AS14</f>
        <v>0</v>
      </c>
      <c r="W113" s="204">
        <f>'Politika 5'!AT14</f>
        <v>0</v>
      </c>
      <c r="X113" s="204">
        <f>'Politika 5'!AU14</f>
        <v>0</v>
      </c>
      <c r="Y113" s="204">
        <f>'Politika 5'!AV14</f>
        <v>0</v>
      </c>
      <c r="Z113" s="204">
        <f>'Politika 5'!AW14</f>
        <v>0</v>
      </c>
    </row>
    <row r="114" spans="1:26" s="104" customFormat="1" ht="25.5" customHeight="1" x14ac:dyDescent="0.15">
      <c r="A114" s="29"/>
      <c r="B114" s="41" t="str">
        <f>'Politika 5'!B15</f>
        <v>d) Takimet e strukturave koordinueese  në nivelin vendor çdo muaj</v>
      </c>
      <c r="C114" s="30"/>
      <c r="D114" s="29"/>
      <c r="E114" s="30"/>
      <c r="F114" s="195"/>
      <c r="G114" s="195"/>
      <c r="H114" s="209">
        <f>'Politika 5'!J15</f>
        <v>594</v>
      </c>
      <c r="I114" s="209">
        <f>'Politika 5'!K15</f>
        <v>0</v>
      </c>
      <c r="J114" s="209">
        <f>'Politika 5'!L15</f>
        <v>594</v>
      </c>
      <c r="K114" s="209">
        <f>'Politika 5'!M15</f>
        <v>0</v>
      </c>
      <c r="L114" s="204">
        <f>'Politika 5'!U15</f>
        <v>162</v>
      </c>
      <c r="M114" s="204">
        <f>'Politika 5'!V15</f>
        <v>0</v>
      </c>
      <c r="N114" s="204">
        <f>'Politika 5'!W15</f>
        <v>0</v>
      </c>
      <c r="O114" s="204">
        <f>'Politika 5'!X15</f>
        <v>162</v>
      </c>
      <c r="P114" s="204">
        <f>'Politika 5'!Y15</f>
        <v>0</v>
      </c>
      <c r="Q114" s="204">
        <f>'Politika 5'!AG15</f>
        <v>216</v>
      </c>
      <c r="R114" s="204">
        <f>'Politika 5'!AH15</f>
        <v>0</v>
      </c>
      <c r="S114" s="204">
        <f>'Politika 5'!AI15</f>
        <v>0</v>
      </c>
      <c r="T114" s="204">
        <f>'Politika 5'!AJ15</f>
        <v>216</v>
      </c>
      <c r="U114" s="204">
        <f>'Politika 5'!AK15</f>
        <v>0</v>
      </c>
      <c r="V114" s="204">
        <f>'Politika 5'!AS15</f>
        <v>216</v>
      </c>
      <c r="W114" s="204">
        <f>'Politika 5'!AT15</f>
        <v>0</v>
      </c>
      <c r="X114" s="204">
        <f>'Politika 5'!AU15</f>
        <v>0</v>
      </c>
      <c r="Y114" s="204">
        <f>'Politika 5'!AV15</f>
        <v>216</v>
      </c>
      <c r="Z114" s="204">
        <f>'Politika 5'!AW15</f>
        <v>0</v>
      </c>
    </row>
    <row r="115" spans="1:26" s="104" customFormat="1" ht="27" customHeight="1" x14ac:dyDescent="0.15">
      <c r="A115" s="8"/>
      <c r="B115" s="41" t="str">
        <f>'Politika 5'!B16</f>
        <v>e) Takime periodike të Grupit teknik të nivelit të lartë për De-Institucionalizimin</v>
      </c>
      <c r="C115" s="30" t="s">
        <v>7</v>
      </c>
      <c r="D115" s="30" t="s">
        <v>147</v>
      </c>
      <c r="E115" s="30" t="s">
        <v>9</v>
      </c>
      <c r="F115" s="195" t="s">
        <v>82</v>
      </c>
      <c r="G115" s="195"/>
      <c r="H115" s="209">
        <f>'Politika 5'!J16</f>
        <v>0</v>
      </c>
      <c r="I115" s="209">
        <f>'Politika 5'!K16</f>
        <v>0</v>
      </c>
      <c r="J115" s="209">
        <f>'Politika 5'!L16</f>
        <v>0</v>
      </c>
      <c r="K115" s="209">
        <f>'Politika 5'!M16</f>
        <v>0</v>
      </c>
      <c r="L115" s="204">
        <f>'Politika 5'!U16</f>
        <v>0</v>
      </c>
      <c r="M115" s="204">
        <f>'Politika 5'!V16</f>
        <v>0</v>
      </c>
      <c r="N115" s="204">
        <f>'Politika 5'!W16</f>
        <v>0</v>
      </c>
      <c r="O115" s="204">
        <f>'Politika 5'!X16</f>
        <v>0</v>
      </c>
      <c r="P115" s="204">
        <f>'Politika 5'!Y16</f>
        <v>0</v>
      </c>
      <c r="Q115" s="204">
        <f>'Politika 5'!AG16</f>
        <v>0</v>
      </c>
      <c r="R115" s="204">
        <f>'Politika 5'!AH16</f>
        <v>0</v>
      </c>
      <c r="S115" s="204">
        <f>'Politika 5'!AI16</f>
        <v>0</v>
      </c>
      <c r="T115" s="204">
        <f>'Politika 5'!AJ16</f>
        <v>0</v>
      </c>
      <c r="U115" s="204">
        <f>'Politika 5'!AK16</f>
        <v>0</v>
      </c>
      <c r="V115" s="204">
        <f>'Politika 5'!AS16</f>
        <v>0</v>
      </c>
      <c r="W115" s="204">
        <f>'Politika 5'!AT16</f>
        <v>0</v>
      </c>
      <c r="X115" s="204">
        <f>'Politika 5'!AU16</f>
        <v>0</v>
      </c>
      <c r="Y115" s="204">
        <f>'Politika 5'!AV16</f>
        <v>0</v>
      </c>
      <c r="Z115" s="204">
        <f>'Politika 5'!AW16</f>
        <v>0</v>
      </c>
    </row>
    <row r="116" spans="1:26" s="104" customFormat="1" ht="27" customHeight="1" x14ac:dyDescent="0.15">
      <c r="A116" s="8"/>
      <c r="B116" s="41" t="str">
        <f>'Politika 5'!B17</f>
        <v xml:space="preserve">g) Koordinim ndërinstitucional rast pas rasti sipas nevojës </v>
      </c>
      <c r="C116" s="30" t="s">
        <v>7</v>
      </c>
      <c r="D116" s="30" t="s">
        <v>147</v>
      </c>
      <c r="E116" s="30" t="s">
        <v>82</v>
      </c>
      <c r="F116" s="195" t="s">
        <v>82</v>
      </c>
      <c r="G116" s="195"/>
      <c r="H116" s="209">
        <f>'Politika 5'!J17</f>
        <v>0</v>
      </c>
      <c r="I116" s="209">
        <f>'Politika 5'!K17</f>
        <v>0</v>
      </c>
      <c r="J116" s="209">
        <f>'Politika 5'!L17</f>
        <v>0</v>
      </c>
      <c r="K116" s="209">
        <f>'Politika 5'!M17</f>
        <v>0</v>
      </c>
      <c r="L116" s="204">
        <f>'Politika 5'!U17</f>
        <v>0</v>
      </c>
      <c r="M116" s="204">
        <f>'Politika 5'!V17</f>
        <v>0</v>
      </c>
      <c r="N116" s="204">
        <f>'Politika 5'!W17</f>
        <v>0</v>
      </c>
      <c r="O116" s="204">
        <f>'Politika 5'!X17</f>
        <v>0</v>
      </c>
      <c r="P116" s="204">
        <f>'Politika 5'!Y17</f>
        <v>0</v>
      </c>
      <c r="Q116" s="204">
        <f>'Politika 5'!AG17</f>
        <v>0</v>
      </c>
      <c r="R116" s="204">
        <f>'Politika 5'!AH17</f>
        <v>0</v>
      </c>
      <c r="S116" s="204">
        <f>'Politika 5'!AI17</f>
        <v>0</v>
      </c>
      <c r="T116" s="204">
        <f>'Politika 5'!AJ17</f>
        <v>0</v>
      </c>
      <c r="U116" s="204">
        <f>'Politika 5'!AK17</f>
        <v>0</v>
      </c>
      <c r="V116" s="204">
        <f>'Politika 5'!AS17</f>
        <v>0</v>
      </c>
      <c r="W116" s="204">
        <f>'Politika 5'!AT17</f>
        <v>0</v>
      </c>
      <c r="X116" s="204">
        <f>'Politika 5'!AU17</f>
        <v>0</v>
      </c>
      <c r="Y116" s="204">
        <f>'Politika 5'!AV17</f>
        <v>0</v>
      </c>
      <c r="Z116" s="204">
        <f>'Politika 5'!AW17</f>
        <v>0</v>
      </c>
    </row>
    <row r="117" spans="1:26" s="104" customFormat="1" ht="36" customHeight="1" x14ac:dyDescent="0.15">
      <c r="A117" s="8"/>
      <c r="B117" s="41" t="str">
        <f>'Politika 5'!B18</f>
        <v>h) Koordinimi i punës së përbashkët për ngritjen e shërbimeve ditore dhe shërbimeve të tjera me bazë komunitare për fëmijët me  dhe pa AK dhe prindërit e tyre.</v>
      </c>
      <c r="C117" s="30" t="s">
        <v>84</v>
      </c>
      <c r="D117" s="30" t="s">
        <v>148</v>
      </c>
      <c r="E117" s="30" t="s">
        <v>9</v>
      </c>
      <c r="F117" s="195" t="s">
        <v>82</v>
      </c>
      <c r="G117" s="195"/>
      <c r="H117" s="209">
        <f>'Politika 5'!J18</f>
        <v>0</v>
      </c>
      <c r="I117" s="209">
        <f>'Politika 5'!K18</f>
        <v>0</v>
      </c>
      <c r="J117" s="209">
        <f>'Politika 5'!L18</f>
        <v>0</v>
      </c>
      <c r="K117" s="209">
        <f>'Politika 5'!M18</f>
        <v>0</v>
      </c>
      <c r="L117" s="204">
        <f>'Politika 5'!U18</f>
        <v>0</v>
      </c>
      <c r="M117" s="204">
        <f>'Politika 5'!V18</f>
        <v>0</v>
      </c>
      <c r="N117" s="204">
        <f>'Politika 5'!W18</f>
        <v>0</v>
      </c>
      <c r="O117" s="204">
        <f>'Politika 5'!X18</f>
        <v>0</v>
      </c>
      <c r="P117" s="204">
        <f>'Politika 5'!Y18</f>
        <v>0</v>
      </c>
      <c r="Q117" s="204">
        <f>'Politika 5'!AG18</f>
        <v>0</v>
      </c>
      <c r="R117" s="204">
        <f>'Politika 5'!AH18</f>
        <v>0</v>
      </c>
      <c r="S117" s="204">
        <f>'Politika 5'!AI18</f>
        <v>0</v>
      </c>
      <c r="T117" s="204">
        <f>'Politika 5'!AJ18</f>
        <v>0</v>
      </c>
      <c r="U117" s="204">
        <f>'Politika 5'!AK18</f>
        <v>0</v>
      </c>
      <c r="V117" s="204">
        <f>'Politika 5'!AS18</f>
        <v>0</v>
      </c>
      <c r="W117" s="204">
        <f>'Politika 5'!AT18</f>
        <v>0</v>
      </c>
      <c r="X117" s="204">
        <f>'Politika 5'!AU18</f>
        <v>0</v>
      </c>
      <c r="Y117" s="204">
        <f>'Politika 5'!AV18</f>
        <v>0</v>
      </c>
      <c r="Z117" s="204">
        <f>'Politika 5'!AW18</f>
        <v>0</v>
      </c>
    </row>
    <row r="118" spans="1:26" s="104" customFormat="1" ht="33.75" customHeight="1" x14ac:dyDescent="0.15">
      <c r="A118" s="145"/>
      <c r="B118" s="162" t="s">
        <v>366</v>
      </c>
      <c r="C118" s="30" t="s">
        <v>74</v>
      </c>
      <c r="D118" s="30" t="s">
        <v>149</v>
      </c>
      <c r="E118" s="30" t="s">
        <v>82</v>
      </c>
      <c r="F118" s="195" t="s">
        <v>82</v>
      </c>
      <c r="G118" s="270" t="s">
        <v>327</v>
      </c>
      <c r="H118" s="211">
        <f>SUM(H119:H125)</f>
        <v>3589</v>
      </c>
      <c r="I118" s="211">
        <f t="shared" ref="I118:Z118" si="70">SUM(I119:I125)</f>
        <v>1505</v>
      </c>
      <c r="J118" s="211">
        <f t="shared" si="70"/>
        <v>2084</v>
      </c>
      <c r="K118" s="211">
        <f t="shared" si="70"/>
        <v>0</v>
      </c>
      <c r="L118" s="211">
        <f t="shared" si="70"/>
        <v>839</v>
      </c>
      <c r="M118" s="211">
        <f t="shared" si="70"/>
        <v>283</v>
      </c>
      <c r="N118" s="211">
        <f t="shared" si="70"/>
        <v>0</v>
      </c>
      <c r="O118" s="211">
        <f t="shared" si="70"/>
        <v>556</v>
      </c>
      <c r="P118" s="211">
        <f t="shared" si="70"/>
        <v>0</v>
      </c>
      <c r="Q118" s="211">
        <f t="shared" si="70"/>
        <v>1375</v>
      </c>
      <c r="R118" s="211">
        <f t="shared" si="70"/>
        <v>611</v>
      </c>
      <c r="S118" s="211">
        <f t="shared" si="70"/>
        <v>0</v>
      </c>
      <c r="T118" s="211">
        <f t="shared" si="70"/>
        <v>764</v>
      </c>
      <c r="U118" s="211">
        <f t="shared" si="70"/>
        <v>0</v>
      </c>
      <c r="V118" s="211">
        <f t="shared" si="70"/>
        <v>1375</v>
      </c>
      <c r="W118" s="211">
        <f t="shared" si="70"/>
        <v>611</v>
      </c>
      <c r="X118" s="211">
        <f t="shared" si="70"/>
        <v>0</v>
      </c>
      <c r="Y118" s="211">
        <f t="shared" si="70"/>
        <v>764</v>
      </c>
      <c r="Z118" s="211">
        <f t="shared" si="70"/>
        <v>0</v>
      </c>
    </row>
    <row r="119" spans="1:26" s="104" customFormat="1" ht="30" customHeight="1" x14ac:dyDescent="0.15">
      <c r="A119" s="8"/>
      <c r="B119" s="41" t="str">
        <f>'Politika 5'!B20</f>
        <v>a) Raport progresi mujore nga Njësitë e koordinimit në nivel vendor për MSHMS dhe sipas nevojës</v>
      </c>
      <c r="C119" s="30" t="s">
        <v>84</v>
      </c>
      <c r="D119" s="30" t="s">
        <v>147</v>
      </c>
      <c r="E119" s="30" t="s">
        <v>82</v>
      </c>
      <c r="F119" s="195" t="s">
        <v>12</v>
      </c>
      <c r="G119" s="195"/>
      <c r="H119" s="209">
        <f>'Politika 5'!J20</f>
        <v>858</v>
      </c>
      <c r="I119" s="209">
        <f>'Politika 5'!K20</f>
        <v>0</v>
      </c>
      <c r="J119" s="209">
        <f>'Politika 5'!L20</f>
        <v>858</v>
      </c>
      <c r="K119" s="209">
        <f>'Politika 5'!M20</f>
        <v>0</v>
      </c>
      <c r="L119" s="204">
        <f>'Politika 5'!U20</f>
        <v>234</v>
      </c>
      <c r="M119" s="204">
        <f>'Politika 5'!V20</f>
        <v>0</v>
      </c>
      <c r="N119" s="204">
        <f>'Politika 5'!W20</f>
        <v>0</v>
      </c>
      <c r="O119" s="204">
        <f>'Politika 5'!X20</f>
        <v>234</v>
      </c>
      <c r="P119" s="204">
        <f>'Politika 5'!Y20</f>
        <v>0</v>
      </c>
      <c r="Q119" s="204">
        <f>'Politika 5'!AG20</f>
        <v>312</v>
      </c>
      <c r="R119" s="204">
        <f>'Politika 5'!AH20</f>
        <v>0</v>
      </c>
      <c r="S119" s="204">
        <f>'Politika 5'!AI20</f>
        <v>0</v>
      </c>
      <c r="T119" s="204">
        <f>'Politika 5'!AJ20</f>
        <v>312</v>
      </c>
      <c r="U119" s="204">
        <f>'Politika 5'!AK20</f>
        <v>0</v>
      </c>
      <c r="V119" s="204">
        <f>'Politika 5'!AS20</f>
        <v>312</v>
      </c>
      <c r="W119" s="204">
        <f>'Politika 5'!AT20</f>
        <v>0</v>
      </c>
      <c r="X119" s="204">
        <f>'Politika 5'!AU20</f>
        <v>0</v>
      </c>
      <c r="Y119" s="204">
        <f>'Politika 5'!AV20</f>
        <v>312</v>
      </c>
      <c r="Z119" s="204">
        <f>'Politika 5'!AW20</f>
        <v>0</v>
      </c>
    </row>
    <row r="120" spans="1:26" s="104" customFormat="1" ht="56.25" customHeight="1" x14ac:dyDescent="0.15">
      <c r="A120" s="8"/>
      <c r="B120" s="41" t="str">
        <f>'Politika 5'!B21</f>
        <v>b) Raport progresi 6-mujore për Qeverinë  dhe sipas nevojës</v>
      </c>
      <c r="C120" s="30" t="s">
        <v>74</v>
      </c>
      <c r="D120" s="30" t="s">
        <v>149</v>
      </c>
      <c r="E120" s="30" t="s">
        <v>82</v>
      </c>
      <c r="F120" s="195" t="s">
        <v>12</v>
      </c>
      <c r="G120" s="195"/>
      <c r="H120" s="209">
        <f>'Politika 5'!J21</f>
        <v>156</v>
      </c>
      <c r="I120" s="209">
        <f>'Politika 5'!K21</f>
        <v>0</v>
      </c>
      <c r="J120" s="209">
        <f>'Politika 5'!L21</f>
        <v>156</v>
      </c>
      <c r="K120" s="209">
        <f>'Politika 5'!M21</f>
        <v>0</v>
      </c>
      <c r="L120" s="204">
        <f>'Politika 5'!U21</f>
        <v>52</v>
      </c>
      <c r="M120" s="204">
        <f>'Politika 5'!V21</f>
        <v>0</v>
      </c>
      <c r="N120" s="204">
        <f>'Politika 5'!W21</f>
        <v>0</v>
      </c>
      <c r="O120" s="204">
        <f>'Politika 5'!X21</f>
        <v>52</v>
      </c>
      <c r="P120" s="204">
        <f>'Politika 5'!Y21</f>
        <v>0</v>
      </c>
      <c r="Q120" s="204">
        <f>'Politika 5'!AG21</f>
        <v>52</v>
      </c>
      <c r="R120" s="204">
        <f>'Politika 5'!AH21</f>
        <v>0</v>
      </c>
      <c r="S120" s="204">
        <f>'Politika 5'!AI21</f>
        <v>0</v>
      </c>
      <c r="T120" s="204">
        <f>'Politika 5'!AJ21</f>
        <v>52</v>
      </c>
      <c r="U120" s="204">
        <f>'Politika 5'!AK21</f>
        <v>0</v>
      </c>
      <c r="V120" s="204">
        <f>'Politika 5'!AS21</f>
        <v>52</v>
      </c>
      <c r="W120" s="204">
        <f>'Politika 5'!AT21</f>
        <v>0</v>
      </c>
      <c r="X120" s="204">
        <f>'Politika 5'!AU21</f>
        <v>0</v>
      </c>
      <c r="Y120" s="204">
        <f>'Politika 5'!AV21</f>
        <v>52</v>
      </c>
      <c r="Z120" s="204">
        <f>'Politika 5'!AW21</f>
        <v>0</v>
      </c>
    </row>
    <row r="121" spans="1:26" s="104" customFormat="1" ht="53.25" customHeight="1" x14ac:dyDescent="0.15">
      <c r="A121" s="8"/>
      <c r="B121" s="41" t="str">
        <f>'Politika 5'!B22</f>
        <v>c) Hartimi i raporteve të progresit vjetore për sfidat dhe mësimet e nxjerra për rolin e punonjësit social, fushatat e komunikimit, funksionimin e mekanizmit të referimit etj dhe ndarja me MSHMS, ShSSh.</v>
      </c>
      <c r="C121" s="30" t="s">
        <v>120</v>
      </c>
      <c r="D121" s="30" t="s">
        <v>149</v>
      </c>
      <c r="E121" s="30" t="s">
        <v>82</v>
      </c>
      <c r="F121" s="195" t="s">
        <v>12</v>
      </c>
      <c r="G121" s="195"/>
      <c r="H121" s="209">
        <f>'Politika 5'!J22</f>
        <v>390</v>
      </c>
      <c r="I121" s="209">
        <f>'Politika 5'!K22</f>
        <v>0</v>
      </c>
      <c r="J121" s="209">
        <f>'Politika 5'!L22</f>
        <v>390</v>
      </c>
      <c r="K121" s="209">
        <f>'Politika 5'!M22</f>
        <v>0</v>
      </c>
      <c r="L121" s="204">
        <f>'Politika 5'!U22</f>
        <v>130</v>
      </c>
      <c r="M121" s="204">
        <f>'Politika 5'!V22</f>
        <v>0</v>
      </c>
      <c r="N121" s="204">
        <f>'Politika 5'!W22</f>
        <v>0</v>
      </c>
      <c r="O121" s="204">
        <f>'Politika 5'!X22</f>
        <v>130</v>
      </c>
      <c r="P121" s="204">
        <f>'Politika 5'!Y22</f>
        <v>0</v>
      </c>
      <c r="Q121" s="204">
        <f>'Politika 5'!AG22</f>
        <v>130</v>
      </c>
      <c r="R121" s="204">
        <f>'Politika 5'!AH22</f>
        <v>0</v>
      </c>
      <c r="S121" s="204">
        <f>'Politika 5'!AI22</f>
        <v>0</v>
      </c>
      <c r="T121" s="204">
        <f>'Politika 5'!AJ22</f>
        <v>130</v>
      </c>
      <c r="U121" s="204">
        <f>'Politika 5'!AK22</f>
        <v>0</v>
      </c>
      <c r="V121" s="204">
        <f>'Politika 5'!AS22</f>
        <v>130</v>
      </c>
      <c r="W121" s="204">
        <f>'Politika 5'!AT22</f>
        <v>0</v>
      </c>
      <c r="X121" s="204">
        <f>'Politika 5'!AU22</f>
        <v>0</v>
      </c>
      <c r="Y121" s="204">
        <f>'Politika 5'!AV22</f>
        <v>130</v>
      </c>
      <c r="Z121" s="204">
        <f>'Politika 5'!AW22</f>
        <v>0</v>
      </c>
    </row>
    <row r="122" spans="1:26" s="104" customFormat="1" ht="36.75" customHeight="1" x14ac:dyDescent="0.15">
      <c r="A122" s="8"/>
      <c r="B122" s="41" t="str">
        <f>'Politika 5'!B23</f>
        <v xml:space="preserve">d) Monitorimi dhe vlerësimi në vazhdim i shërbimeve të reja. </v>
      </c>
      <c r="C122" s="30" t="s">
        <v>84</v>
      </c>
      <c r="D122" s="30" t="s">
        <v>150</v>
      </c>
      <c r="E122" s="30" t="s">
        <v>82</v>
      </c>
      <c r="F122" s="195" t="s">
        <v>12</v>
      </c>
      <c r="G122" s="195"/>
      <c r="H122" s="209">
        <f>'Politika 5'!J23</f>
        <v>492</v>
      </c>
      <c r="I122" s="209">
        <f>'Politika 5'!K23</f>
        <v>492</v>
      </c>
      <c r="J122" s="209">
        <f>'Politika 5'!L23</f>
        <v>0</v>
      </c>
      <c r="K122" s="209">
        <f>'Politika 5'!M23</f>
        <v>0</v>
      </c>
      <c r="L122" s="204">
        <f>'Politika 5'!U23</f>
        <v>164</v>
      </c>
      <c r="M122" s="204">
        <f>'Politika 5'!V23</f>
        <v>164</v>
      </c>
      <c r="N122" s="204">
        <f>'Politika 5'!W23</f>
        <v>0</v>
      </c>
      <c r="O122" s="204">
        <f>'Politika 5'!X23</f>
        <v>0</v>
      </c>
      <c r="P122" s="204">
        <f>'Politika 5'!Y23</f>
        <v>0</v>
      </c>
      <c r="Q122" s="204">
        <f>'Politika 5'!AG23</f>
        <v>164</v>
      </c>
      <c r="R122" s="204">
        <f>'Politika 5'!AH23</f>
        <v>164</v>
      </c>
      <c r="S122" s="204">
        <f>'Politika 5'!AI23</f>
        <v>0</v>
      </c>
      <c r="T122" s="204">
        <f>'Politika 5'!AJ23</f>
        <v>0</v>
      </c>
      <c r="U122" s="204">
        <f>'Politika 5'!AK23</f>
        <v>0</v>
      </c>
      <c r="V122" s="204">
        <f>'Politika 5'!AS23</f>
        <v>164</v>
      </c>
      <c r="W122" s="204">
        <f>'Politika 5'!AT23</f>
        <v>164</v>
      </c>
      <c r="X122" s="204">
        <f>'Politika 5'!AU23</f>
        <v>0</v>
      </c>
      <c r="Y122" s="204">
        <f>'Politika 5'!AV23</f>
        <v>0</v>
      </c>
      <c r="Z122" s="204">
        <f>'Politika 5'!AW23</f>
        <v>0</v>
      </c>
    </row>
    <row r="123" spans="1:26" s="104" customFormat="1" ht="39.75" customHeight="1" x14ac:dyDescent="0.15">
      <c r="A123" s="28"/>
      <c r="B123" s="41" t="str">
        <f>'Politika 5'!B24</f>
        <v xml:space="preserve">e) Harimi i kalendarit i takimeve të rregullta në çdo bashki për të diskutuar sfidat dhe arritjet. Dokumentimi i rasteve dhe i praktikës. </v>
      </c>
      <c r="C123" s="30" t="s">
        <v>84</v>
      </c>
      <c r="D123" s="30" t="s">
        <v>150</v>
      </c>
      <c r="E123" s="30" t="s">
        <v>82</v>
      </c>
      <c r="F123" s="195" t="s">
        <v>12</v>
      </c>
      <c r="G123" s="195"/>
      <c r="H123" s="209">
        <f>'Politika 5'!J24</f>
        <v>0</v>
      </c>
      <c r="I123" s="209">
        <f>'Politika 5'!K24</f>
        <v>0</v>
      </c>
      <c r="J123" s="209">
        <f>'Politika 5'!L24</f>
        <v>0</v>
      </c>
      <c r="K123" s="209">
        <f>'Politika 5'!M24</f>
        <v>0</v>
      </c>
      <c r="L123" s="204">
        <f>'Politika 5'!U24</f>
        <v>0</v>
      </c>
      <c r="M123" s="204">
        <f>'Politika 5'!V24</f>
        <v>0</v>
      </c>
      <c r="N123" s="204">
        <f>'Politika 5'!W24</f>
        <v>0</v>
      </c>
      <c r="O123" s="204">
        <f>'Politika 5'!X24</f>
        <v>0</v>
      </c>
      <c r="P123" s="204">
        <f>'Politika 5'!Y24</f>
        <v>0</v>
      </c>
      <c r="Q123" s="204">
        <f>'Politika 5'!AG24</f>
        <v>0</v>
      </c>
      <c r="R123" s="204">
        <f>'Politika 5'!AH24</f>
        <v>0</v>
      </c>
      <c r="S123" s="204">
        <f>'Politika 5'!AI24</f>
        <v>0</v>
      </c>
      <c r="T123" s="204">
        <f>'Politika 5'!AJ24</f>
        <v>0</v>
      </c>
      <c r="U123" s="204">
        <f>'Politika 5'!AK24</f>
        <v>0</v>
      </c>
      <c r="V123" s="204">
        <f>'Politika 5'!AS24</f>
        <v>0</v>
      </c>
      <c r="W123" s="204">
        <f>'Politika 5'!AT24</f>
        <v>0</v>
      </c>
      <c r="X123" s="204">
        <f>'Politika 5'!AU24</f>
        <v>0</v>
      </c>
      <c r="Y123" s="204">
        <f>'Politika 5'!AV24</f>
        <v>0</v>
      </c>
      <c r="Z123" s="204">
        <f>'Politika 5'!AW24</f>
        <v>0</v>
      </c>
    </row>
    <row r="124" spans="1:26" s="9" customFormat="1" ht="39" customHeight="1" x14ac:dyDescent="0.15">
      <c r="A124" s="44"/>
      <c r="B124" s="41" t="str">
        <f>'Politika 5'!B25</f>
        <v xml:space="preserve">f) Monitorimi dhe vlerësimi i efikasitetit dhe ndikimit të shërbimit për të siguruar qëndrueshmërinë dhe mundësinë e replikimit në nivel kombëtar. </v>
      </c>
      <c r="C124" s="30" t="s">
        <v>84</v>
      </c>
      <c r="D124" s="30" t="s">
        <v>150</v>
      </c>
      <c r="E124" s="30" t="s">
        <v>82</v>
      </c>
      <c r="F124" s="195" t="s">
        <v>12</v>
      </c>
      <c r="G124" s="187" t="s">
        <v>327</v>
      </c>
      <c r="H124" s="209">
        <f>'Politika 5'!J25</f>
        <v>916</v>
      </c>
      <c r="I124" s="209">
        <f>'Politika 5'!K25</f>
        <v>656</v>
      </c>
      <c r="J124" s="209">
        <f>'Politika 5'!L25</f>
        <v>260</v>
      </c>
      <c r="K124" s="209">
        <f>'Politika 5'!M25</f>
        <v>0</v>
      </c>
      <c r="L124" s="204">
        <f>'Politika 5'!U25</f>
        <v>0</v>
      </c>
      <c r="M124" s="204">
        <f>'Politika 5'!V25</f>
        <v>0</v>
      </c>
      <c r="N124" s="204">
        <f>'Politika 5'!W25</f>
        <v>0</v>
      </c>
      <c r="O124" s="204">
        <f>'Politika 5'!X25</f>
        <v>0</v>
      </c>
      <c r="P124" s="204">
        <f>'Politika 5'!Y25</f>
        <v>0</v>
      </c>
      <c r="Q124" s="204">
        <f>'Politika 5'!AG25</f>
        <v>458</v>
      </c>
      <c r="R124" s="204">
        <f>'Politika 5'!AH25</f>
        <v>328</v>
      </c>
      <c r="S124" s="204">
        <f>'Politika 5'!AI25</f>
        <v>0</v>
      </c>
      <c r="T124" s="204">
        <f>'Politika 5'!AJ25</f>
        <v>130</v>
      </c>
      <c r="U124" s="204">
        <f>'Politika 5'!AK25</f>
        <v>0</v>
      </c>
      <c r="V124" s="204">
        <f>'Politika 5'!AS25</f>
        <v>458</v>
      </c>
      <c r="W124" s="204">
        <f>'Politika 5'!AT25</f>
        <v>328</v>
      </c>
      <c r="X124" s="204">
        <f>'Politika 5'!AU25</f>
        <v>0</v>
      </c>
      <c r="Y124" s="204">
        <f>'Politika 5'!AV25</f>
        <v>130</v>
      </c>
      <c r="Z124" s="204">
        <f>'Politika 5'!AW25</f>
        <v>0</v>
      </c>
    </row>
    <row r="125" spans="1:26" s="4" customFormat="1" ht="47.25" customHeight="1" x14ac:dyDescent="0.2">
      <c r="A125" s="44"/>
      <c r="B125" s="41" t="str">
        <f>'Politika 5'!B26</f>
        <v>g) Raport progresi vjetor i  ecurisë së Planit Kombëtar të De-institucionalizimit</v>
      </c>
      <c r="C125" s="29" t="s">
        <v>84</v>
      </c>
      <c r="D125" s="29" t="s">
        <v>98</v>
      </c>
      <c r="E125" s="29" t="s">
        <v>82</v>
      </c>
      <c r="F125" s="187" t="s">
        <v>12</v>
      </c>
      <c r="G125" s="187"/>
      <c r="H125" s="209">
        <f>'Politika 5'!J26</f>
        <v>777</v>
      </c>
      <c r="I125" s="209">
        <f>'Politika 5'!K26</f>
        <v>357</v>
      </c>
      <c r="J125" s="209">
        <f>'Politika 5'!L26</f>
        <v>420</v>
      </c>
      <c r="K125" s="209">
        <f>'Politika 5'!M26</f>
        <v>0</v>
      </c>
      <c r="L125" s="204">
        <f>'Politika 5'!U26</f>
        <v>259</v>
      </c>
      <c r="M125" s="204">
        <f>'Politika 5'!V26</f>
        <v>119</v>
      </c>
      <c r="N125" s="204">
        <f>'Politika 5'!W26</f>
        <v>0</v>
      </c>
      <c r="O125" s="204">
        <f>'Politika 5'!X26</f>
        <v>140</v>
      </c>
      <c r="P125" s="204">
        <f>'Politika 5'!Y26</f>
        <v>0</v>
      </c>
      <c r="Q125" s="204">
        <f>'Politika 5'!AG26</f>
        <v>259</v>
      </c>
      <c r="R125" s="204">
        <f>'Politika 5'!AH26</f>
        <v>119</v>
      </c>
      <c r="S125" s="204">
        <f>'Politika 5'!AI26</f>
        <v>0</v>
      </c>
      <c r="T125" s="204">
        <f>'Politika 5'!AJ26</f>
        <v>140</v>
      </c>
      <c r="U125" s="204">
        <f>'Politika 5'!AK26</f>
        <v>0</v>
      </c>
      <c r="V125" s="204">
        <f>'Politika 5'!AS26</f>
        <v>259</v>
      </c>
      <c r="W125" s="204">
        <f>'Politika 5'!AT26</f>
        <v>119</v>
      </c>
      <c r="X125" s="204">
        <f>'Politika 5'!AU26</f>
        <v>0</v>
      </c>
      <c r="Y125" s="204">
        <f>'Politika 5'!AV26</f>
        <v>140</v>
      </c>
      <c r="Z125" s="204">
        <f>'Politika 5'!AW26</f>
        <v>0</v>
      </c>
    </row>
  </sheetData>
  <customSheetViews>
    <customSheetView guid="{033B3830-A9CA-8D41-BC84-D742977C4300}" scale="140" showGridLines="0" hiddenColumns="1" topLeftCell="A71">
      <selection activeCell="G81" sqref="G81"/>
      <pageMargins left="0.7" right="0.7" top="0.75" bottom="0.75" header="0.3" footer="0.3"/>
      <pageSetup orientation="landscape" r:id="rId1"/>
    </customSheetView>
    <customSheetView guid="{694CA80F-83B4-4B42-A82F-AA4B9565E59A}" scale="73" showGridLines="0" hiddenColumns="1" topLeftCell="A118">
      <selection activeCell="B140" sqref="B140"/>
      <pageMargins left="0.7" right="0.7" top="0.75" bottom="0.75" header="0.3" footer="0.3"/>
      <pageSetup orientation="landscape" r:id="rId2"/>
    </customSheetView>
    <customSheetView guid="{072E7775-6D14-894A-BE79-51AE1E53E486}" scale="150" showGridLines="0" hiddenColumns="1" topLeftCell="B1">
      <pane ySplit="1.0277777777777777" topLeftCell="A41" activePane="bottomLeft" state="frozenSplit"/>
      <selection pane="bottomLeft" activeCell="B11" sqref="B11"/>
      <pageMargins left="0.7" right="0.7" top="0.75" bottom="0.75" header="0.3" footer="0.3"/>
      <pageSetup orientation="landscape"/>
    </customSheetView>
  </customSheetViews>
  <mergeCells count="21">
    <mergeCell ref="AJ8:AT8"/>
    <mergeCell ref="G6:G7"/>
    <mergeCell ref="A2:Z2"/>
    <mergeCell ref="A3:Z3"/>
    <mergeCell ref="A4:Z4"/>
    <mergeCell ref="A5:Z5"/>
    <mergeCell ref="T6:T7"/>
    <mergeCell ref="Z6:Z7"/>
    <mergeCell ref="M6:N6"/>
    <mergeCell ref="O6:O7"/>
    <mergeCell ref="R6:S6"/>
    <mergeCell ref="A6:A7"/>
    <mergeCell ref="P6:P7"/>
    <mergeCell ref="I6:J6"/>
    <mergeCell ref="H6:H7"/>
    <mergeCell ref="C6:D6"/>
    <mergeCell ref="E6:F6"/>
    <mergeCell ref="K6:K7"/>
    <mergeCell ref="U6:U7"/>
    <mergeCell ref="W6:X6"/>
    <mergeCell ref="Y6:Y7"/>
  </mergeCell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showGridLines="0" topLeftCell="A18" zoomScale="120" zoomScaleNormal="120" zoomScalePageLayoutView="150" workbookViewId="0">
      <selection activeCell="K18" sqref="K18"/>
    </sheetView>
  </sheetViews>
  <sheetFormatPr baseColWidth="10" defaultColWidth="8.83203125" defaultRowHeight="13" x14ac:dyDescent="0.15"/>
  <cols>
    <col min="1" max="1" width="5.33203125" style="65" customWidth="1"/>
    <col min="2" max="2" width="67.33203125" style="65" customWidth="1"/>
    <col min="3" max="3" width="23.5" style="65" customWidth="1"/>
    <col min="4" max="4" width="38.6640625" style="65" customWidth="1"/>
    <col min="5" max="5" width="17.83203125" style="65" customWidth="1"/>
    <col min="6" max="6" width="14.33203125" style="65" customWidth="1"/>
    <col min="7" max="7" width="15.5" style="65" customWidth="1"/>
    <col min="8" max="8" width="16.83203125" style="65" customWidth="1"/>
    <col min="9" max="9" width="16.33203125" style="65" customWidth="1"/>
    <col min="10" max="10" width="16.1640625" style="84" customWidth="1"/>
    <col min="11" max="11" width="16.33203125" style="84" customWidth="1"/>
    <col min="12" max="12" width="15.1640625" style="84" customWidth="1"/>
    <col min="13" max="13" width="18.6640625" style="84" customWidth="1"/>
    <col min="14" max="14" width="13" style="74" customWidth="1"/>
    <col min="15" max="15" width="15.83203125" style="3" customWidth="1"/>
    <col min="16" max="16" width="11.5" style="3" customWidth="1"/>
    <col min="17" max="17" width="15.5" style="3" customWidth="1"/>
    <col min="18" max="18" width="14" style="3" customWidth="1"/>
    <col min="19" max="19" width="14.5" style="3" customWidth="1"/>
    <col min="20" max="20" width="8.83203125" style="3"/>
    <col min="21" max="21" width="11" style="3" customWidth="1"/>
    <col min="22" max="22" width="11.5" style="3" customWidth="1"/>
    <col min="23" max="25" width="8.83203125" style="3"/>
    <col min="26" max="26" width="8.83203125" style="74"/>
    <col min="27" max="27" width="11.33203125" style="3" bestFit="1" customWidth="1"/>
    <col min="28" max="30" width="8.83203125" style="3"/>
    <col min="31" max="31" width="11.5" style="3" bestFit="1" customWidth="1"/>
    <col min="32" max="32" width="8.83203125" style="3"/>
    <col min="33" max="33" width="12.5" style="3" customWidth="1"/>
    <col min="34" max="37" width="8.83203125" style="3"/>
    <col min="38" max="38" width="8.83203125" style="74"/>
    <col min="39" max="39" width="13.5" style="3" customWidth="1"/>
    <col min="40" max="44" width="8.83203125" style="3"/>
    <col min="45" max="45" width="11.33203125" style="3" bestFit="1" customWidth="1"/>
    <col min="46" max="49" width="8.83203125" style="3"/>
    <col min="50" max="16384" width="8.83203125" style="65"/>
  </cols>
  <sheetData>
    <row r="1" spans="1:50" ht="20.25" customHeight="1" x14ac:dyDescent="0.15">
      <c r="A1" s="58"/>
      <c r="B1" s="58" t="s">
        <v>3</v>
      </c>
      <c r="C1" s="58"/>
      <c r="D1" s="58"/>
      <c r="E1" s="58"/>
      <c r="F1" s="58"/>
      <c r="G1" s="59"/>
      <c r="H1" s="59"/>
      <c r="I1" s="59"/>
      <c r="J1" s="60"/>
      <c r="K1" s="60"/>
      <c r="L1" s="60"/>
      <c r="M1" s="60"/>
    </row>
    <row r="2" spans="1:50" ht="26.25" customHeight="1" x14ac:dyDescent="0.15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50" ht="32.25" customHeight="1" x14ac:dyDescent="0.15">
      <c r="A3" s="396" t="s">
        <v>134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R3" s="87"/>
      <c r="S3" s="87"/>
      <c r="T3" s="87" t="s">
        <v>155</v>
      </c>
      <c r="U3" s="87"/>
      <c r="V3" s="87"/>
      <c r="W3" s="87"/>
      <c r="X3" s="87"/>
      <c r="Y3" s="87"/>
      <c r="Z3" s="230"/>
      <c r="AA3" s="87"/>
      <c r="AB3" s="87"/>
      <c r="AC3" s="87"/>
      <c r="AD3" s="87"/>
      <c r="AE3" s="89" t="e">
        <f>AG9+'[1]Politika 2'!AF9+'[1]Politika 3'!AF9</f>
        <v>#REF!</v>
      </c>
      <c r="AF3" s="87"/>
      <c r="AG3" s="87"/>
      <c r="AH3" s="87"/>
      <c r="AI3" s="87"/>
      <c r="AJ3" s="87"/>
      <c r="AK3" s="87"/>
      <c r="AL3" s="230"/>
      <c r="AM3" s="87"/>
      <c r="AN3" s="87"/>
      <c r="AO3" s="87"/>
      <c r="AP3" s="87"/>
      <c r="AQ3" s="87"/>
      <c r="AR3" s="87"/>
      <c r="AS3" s="87"/>
    </row>
    <row r="4" spans="1:50" ht="28.5" customHeight="1" x14ac:dyDescent="0.15">
      <c r="A4" s="397" t="s">
        <v>453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9"/>
      <c r="O4" s="87"/>
      <c r="P4" s="87"/>
      <c r="Q4" s="87"/>
      <c r="R4" s="87"/>
      <c r="S4" s="87"/>
      <c r="T4" s="88"/>
      <c r="U4" s="87"/>
      <c r="V4" s="87"/>
      <c r="W4" s="87"/>
      <c r="X4" s="87"/>
      <c r="Y4" s="87"/>
      <c r="Z4" s="230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230"/>
      <c r="AM4" s="87"/>
      <c r="AN4" s="87"/>
      <c r="AO4" s="87"/>
      <c r="AP4" s="87"/>
      <c r="AQ4" s="87"/>
      <c r="AR4" s="87"/>
      <c r="AS4" s="89" t="e">
        <f>AS9+'[1]Politika 2'!AR9+'[1]Politika 3'!AR9</f>
        <v>#REF!</v>
      </c>
    </row>
    <row r="5" spans="1:50" ht="30.75" customHeight="1" thickBot="1" x14ac:dyDescent="0.2">
      <c r="A5" s="400" t="s">
        <v>135</v>
      </c>
      <c r="B5" s="400"/>
      <c r="C5" s="400"/>
      <c r="D5" s="400"/>
      <c r="E5" s="400"/>
      <c r="F5" s="400"/>
      <c r="G5" s="400"/>
      <c r="H5" s="400"/>
      <c r="I5" s="400"/>
      <c r="J5" s="401"/>
      <c r="K5" s="401"/>
      <c r="L5" s="401"/>
      <c r="M5" s="401"/>
      <c r="N5" s="85"/>
      <c r="U5" s="67"/>
    </row>
    <row r="6" spans="1:50" ht="33.75" customHeight="1" thickBot="1" x14ac:dyDescent="0.2">
      <c r="A6" s="375" t="s">
        <v>5</v>
      </c>
      <c r="B6" s="353"/>
      <c r="C6" s="43"/>
      <c r="D6" s="353" t="s">
        <v>178</v>
      </c>
      <c r="E6" s="43"/>
      <c r="F6" s="353" t="s">
        <v>64</v>
      </c>
      <c r="G6" s="353"/>
      <c r="H6" s="353" t="s">
        <v>8</v>
      </c>
      <c r="I6" s="354"/>
      <c r="J6" s="402" t="s">
        <v>65</v>
      </c>
      <c r="K6" s="393" t="s">
        <v>0</v>
      </c>
      <c r="L6" s="393"/>
      <c r="M6" s="394" t="s">
        <v>66</v>
      </c>
      <c r="N6" s="80"/>
      <c r="U6" s="69"/>
    </row>
    <row r="7" spans="1:50" ht="52" x14ac:dyDescent="0.15">
      <c r="A7" s="375"/>
      <c r="B7" s="353"/>
      <c r="C7" s="53" t="s">
        <v>6</v>
      </c>
      <c r="D7" s="353"/>
      <c r="E7" s="43" t="s">
        <v>172</v>
      </c>
      <c r="F7" s="13" t="s">
        <v>67</v>
      </c>
      <c r="G7" s="13" t="s">
        <v>68</v>
      </c>
      <c r="H7" s="43" t="s">
        <v>1</v>
      </c>
      <c r="I7" s="186" t="s">
        <v>2</v>
      </c>
      <c r="J7" s="403"/>
      <c r="K7" s="43" t="s">
        <v>69</v>
      </c>
      <c r="L7" s="43" t="s">
        <v>136</v>
      </c>
      <c r="M7" s="395"/>
      <c r="O7" s="383" t="s">
        <v>156</v>
      </c>
      <c r="P7" s="384"/>
      <c r="Q7" s="384"/>
      <c r="R7" s="384"/>
      <c r="S7" s="384"/>
      <c r="T7" s="384"/>
      <c r="U7" s="384"/>
      <c r="V7" s="384"/>
      <c r="W7" s="384"/>
      <c r="X7" s="384"/>
      <c r="Y7" s="385"/>
      <c r="AA7" s="386" t="s">
        <v>157</v>
      </c>
      <c r="AB7" s="387"/>
      <c r="AC7" s="387"/>
      <c r="AD7" s="387"/>
      <c r="AE7" s="387"/>
      <c r="AF7" s="387"/>
      <c r="AG7" s="387"/>
      <c r="AH7" s="387"/>
      <c r="AI7" s="387"/>
      <c r="AJ7" s="387"/>
      <c r="AK7" s="388"/>
      <c r="AM7" s="389" t="s">
        <v>158</v>
      </c>
      <c r="AN7" s="390"/>
      <c r="AO7" s="390"/>
      <c r="AP7" s="390"/>
      <c r="AQ7" s="390"/>
      <c r="AR7" s="390"/>
      <c r="AS7" s="390"/>
      <c r="AT7" s="390"/>
      <c r="AU7" s="390"/>
      <c r="AV7" s="390"/>
      <c r="AW7" s="391"/>
    </row>
    <row r="8" spans="1:50" ht="65" x14ac:dyDescent="0.15">
      <c r="A8" s="8"/>
      <c r="B8" s="392" t="s">
        <v>137</v>
      </c>
      <c r="C8" s="392"/>
      <c r="D8" s="392"/>
      <c r="E8" s="42"/>
      <c r="F8" s="29"/>
      <c r="G8" s="29"/>
      <c r="H8" s="29"/>
      <c r="I8" s="187"/>
      <c r="J8" s="261"/>
      <c r="K8" s="11"/>
      <c r="L8" s="11"/>
      <c r="M8" s="262"/>
      <c r="O8" s="252" t="s">
        <v>159</v>
      </c>
      <c r="P8" s="61" t="s">
        <v>160</v>
      </c>
      <c r="Q8" s="61" t="s">
        <v>161</v>
      </c>
      <c r="R8" s="61" t="s">
        <v>216</v>
      </c>
      <c r="S8" s="61" t="s">
        <v>162</v>
      </c>
      <c r="T8" s="61" t="s">
        <v>163</v>
      </c>
      <c r="U8" s="61" t="s">
        <v>164</v>
      </c>
      <c r="V8" s="61" t="s">
        <v>165</v>
      </c>
      <c r="W8" s="61" t="s">
        <v>166</v>
      </c>
      <c r="X8" s="61" t="s">
        <v>167</v>
      </c>
      <c r="Y8" s="253" t="s">
        <v>168</v>
      </c>
      <c r="AA8" s="250" t="s">
        <v>159</v>
      </c>
      <c r="AB8" s="62" t="s">
        <v>160</v>
      </c>
      <c r="AC8" s="62" t="s">
        <v>161</v>
      </c>
      <c r="AD8" s="62" t="s">
        <v>216</v>
      </c>
      <c r="AE8" s="62" t="s">
        <v>162</v>
      </c>
      <c r="AF8" s="62" t="s">
        <v>163</v>
      </c>
      <c r="AG8" s="62" t="s">
        <v>164</v>
      </c>
      <c r="AH8" s="62" t="s">
        <v>165</v>
      </c>
      <c r="AI8" s="62" t="s">
        <v>169</v>
      </c>
      <c r="AJ8" s="62" t="s">
        <v>167</v>
      </c>
      <c r="AK8" s="251" t="s">
        <v>168</v>
      </c>
      <c r="AM8" s="231" t="s">
        <v>159</v>
      </c>
      <c r="AN8" s="63" t="s">
        <v>160</v>
      </c>
      <c r="AO8" s="63" t="s">
        <v>161</v>
      </c>
      <c r="AP8" s="63" t="s">
        <v>216</v>
      </c>
      <c r="AQ8" s="63" t="s">
        <v>162</v>
      </c>
      <c r="AR8" s="63" t="s">
        <v>163</v>
      </c>
      <c r="AS8" s="63" t="s">
        <v>164</v>
      </c>
      <c r="AT8" s="63" t="s">
        <v>165</v>
      </c>
      <c r="AU8" s="63" t="s">
        <v>170</v>
      </c>
      <c r="AV8" s="63" t="s">
        <v>167</v>
      </c>
      <c r="AW8" s="232" t="s">
        <v>168</v>
      </c>
    </row>
    <row r="9" spans="1:50" s="3" customFormat="1" ht="36" customHeight="1" x14ac:dyDescent="0.2">
      <c r="A9" s="382" t="s">
        <v>171</v>
      </c>
      <c r="B9" s="382"/>
      <c r="C9" s="70"/>
      <c r="D9" s="71"/>
      <c r="E9" s="71"/>
      <c r="F9" s="71"/>
      <c r="G9" s="71"/>
      <c r="H9" s="72"/>
      <c r="I9" s="259"/>
      <c r="J9" s="196">
        <f>J10</f>
        <v>1790</v>
      </c>
      <c r="K9" s="73">
        <f>K10</f>
        <v>407</v>
      </c>
      <c r="L9" s="73">
        <f t="shared" ref="L9:AW9" si="0">L10</f>
        <v>1383</v>
      </c>
      <c r="M9" s="233">
        <f t="shared" si="0"/>
        <v>0</v>
      </c>
      <c r="N9" s="227"/>
      <c r="O9" s="196">
        <f t="shared" si="0"/>
        <v>407</v>
      </c>
      <c r="P9" s="73">
        <f t="shared" si="0"/>
        <v>30</v>
      </c>
      <c r="Q9" s="73">
        <f t="shared" si="0"/>
        <v>1353</v>
      </c>
      <c r="R9" s="73">
        <f t="shared" si="0"/>
        <v>0</v>
      </c>
      <c r="S9" s="73">
        <f t="shared" si="0"/>
        <v>0</v>
      </c>
      <c r="T9" s="73">
        <f t="shared" si="0"/>
        <v>0</v>
      </c>
      <c r="U9" s="73">
        <f t="shared" si="0"/>
        <v>1790</v>
      </c>
      <c r="V9" s="73">
        <f>V10</f>
        <v>407</v>
      </c>
      <c r="W9" s="73">
        <f>W10</f>
        <v>0</v>
      </c>
      <c r="X9" s="73">
        <f t="shared" ref="X9:Y9" si="1">X10</f>
        <v>1479</v>
      </c>
      <c r="Y9" s="73">
        <f t="shared" si="1"/>
        <v>0</v>
      </c>
      <c r="Z9" s="227"/>
      <c r="AA9" s="196">
        <f t="shared" si="0"/>
        <v>0</v>
      </c>
      <c r="AB9" s="73">
        <f t="shared" si="0"/>
        <v>0</v>
      </c>
      <c r="AC9" s="73">
        <f t="shared" si="0"/>
        <v>0</v>
      </c>
      <c r="AD9" s="73">
        <f t="shared" si="0"/>
        <v>0</v>
      </c>
      <c r="AE9" s="73">
        <f t="shared" si="0"/>
        <v>0</v>
      </c>
      <c r="AF9" s="73">
        <f t="shared" si="0"/>
        <v>0</v>
      </c>
      <c r="AG9" s="73">
        <f t="shared" si="0"/>
        <v>0</v>
      </c>
      <c r="AH9" s="73">
        <f t="shared" si="0"/>
        <v>0</v>
      </c>
      <c r="AI9" s="73">
        <f t="shared" si="0"/>
        <v>0</v>
      </c>
      <c r="AJ9" s="73">
        <f t="shared" si="0"/>
        <v>0</v>
      </c>
      <c r="AK9" s="233">
        <f t="shared" si="0"/>
        <v>0</v>
      </c>
      <c r="AL9" s="227"/>
      <c r="AM9" s="196">
        <f t="shared" si="0"/>
        <v>0</v>
      </c>
      <c r="AN9" s="73">
        <f t="shared" si="0"/>
        <v>0</v>
      </c>
      <c r="AO9" s="73">
        <f t="shared" si="0"/>
        <v>0</v>
      </c>
      <c r="AP9" s="73">
        <f t="shared" si="0"/>
        <v>0</v>
      </c>
      <c r="AQ9" s="73">
        <f t="shared" si="0"/>
        <v>0</v>
      </c>
      <c r="AR9" s="73">
        <f t="shared" si="0"/>
        <v>0</v>
      </c>
      <c r="AS9" s="73">
        <f t="shared" si="0"/>
        <v>0</v>
      </c>
      <c r="AT9" s="73">
        <f t="shared" si="0"/>
        <v>0</v>
      </c>
      <c r="AU9" s="73">
        <f t="shared" si="0"/>
        <v>0</v>
      </c>
      <c r="AV9" s="73">
        <f t="shared" si="0"/>
        <v>0</v>
      </c>
      <c r="AW9" s="73" t="e">
        <f t="shared" si="0"/>
        <v>#NAME?</v>
      </c>
      <c r="AX9" s="64"/>
    </row>
    <row r="10" spans="1:50" ht="57.75" customHeight="1" x14ac:dyDescent="0.15">
      <c r="A10" s="46">
        <v>1</v>
      </c>
      <c r="B10" s="47" t="s">
        <v>87</v>
      </c>
      <c r="C10" s="47"/>
      <c r="D10" s="48" t="s">
        <v>376</v>
      </c>
      <c r="E10" s="48"/>
      <c r="F10" s="48"/>
      <c r="G10" s="48"/>
      <c r="H10" s="48"/>
      <c r="I10" s="188"/>
      <c r="J10" s="234">
        <f>J11+J16</f>
        <v>1790</v>
      </c>
      <c r="K10" s="161">
        <f t="shared" ref="K10:AW10" si="2">K11+K16</f>
        <v>407</v>
      </c>
      <c r="L10" s="161">
        <f t="shared" si="2"/>
        <v>1383</v>
      </c>
      <c r="M10" s="235">
        <f t="shared" si="2"/>
        <v>0</v>
      </c>
      <c r="N10" s="227"/>
      <c r="O10" s="234">
        <f t="shared" si="2"/>
        <v>407</v>
      </c>
      <c r="P10" s="161">
        <f t="shared" si="2"/>
        <v>30</v>
      </c>
      <c r="Q10" s="161">
        <f t="shared" si="2"/>
        <v>1353</v>
      </c>
      <c r="R10" s="161">
        <f t="shared" si="2"/>
        <v>0</v>
      </c>
      <c r="S10" s="161">
        <f t="shared" si="2"/>
        <v>0</v>
      </c>
      <c r="T10" s="161">
        <f t="shared" si="2"/>
        <v>0</v>
      </c>
      <c r="U10" s="161">
        <f t="shared" si="2"/>
        <v>1790</v>
      </c>
      <c r="V10" s="161">
        <f t="shared" si="2"/>
        <v>407</v>
      </c>
      <c r="W10" s="161">
        <f t="shared" si="2"/>
        <v>0</v>
      </c>
      <c r="X10" s="161">
        <f t="shared" si="2"/>
        <v>1479</v>
      </c>
      <c r="Y10" s="161">
        <f t="shared" si="2"/>
        <v>0</v>
      </c>
      <c r="Z10" s="228"/>
      <c r="AA10" s="234">
        <f t="shared" si="2"/>
        <v>0</v>
      </c>
      <c r="AB10" s="161">
        <f t="shared" si="2"/>
        <v>0</v>
      </c>
      <c r="AC10" s="161">
        <f t="shared" si="2"/>
        <v>0</v>
      </c>
      <c r="AD10" s="161">
        <f t="shared" si="2"/>
        <v>0</v>
      </c>
      <c r="AE10" s="161">
        <f t="shared" si="2"/>
        <v>0</v>
      </c>
      <c r="AF10" s="161">
        <f t="shared" si="2"/>
        <v>0</v>
      </c>
      <c r="AG10" s="161">
        <f t="shared" si="2"/>
        <v>0</v>
      </c>
      <c r="AH10" s="161">
        <f t="shared" si="2"/>
        <v>0</v>
      </c>
      <c r="AI10" s="161">
        <f t="shared" si="2"/>
        <v>0</v>
      </c>
      <c r="AJ10" s="161">
        <f t="shared" si="2"/>
        <v>0</v>
      </c>
      <c r="AK10" s="235">
        <f t="shared" si="2"/>
        <v>0</v>
      </c>
      <c r="AL10" s="228"/>
      <c r="AM10" s="234">
        <f t="shared" si="2"/>
        <v>0</v>
      </c>
      <c r="AN10" s="161">
        <f t="shared" si="2"/>
        <v>0</v>
      </c>
      <c r="AO10" s="161">
        <f t="shared" si="2"/>
        <v>0</v>
      </c>
      <c r="AP10" s="161">
        <f t="shared" si="2"/>
        <v>0</v>
      </c>
      <c r="AQ10" s="161">
        <f t="shared" si="2"/>
        <v>0</v>
      </c>
      <c r="AR10" s="161">
        <f t="shared" si="2"/>
        <v>0</v>
      </c>
      <c r="AS10" s="161">
        <f t="shared" si="2"/>
        <v>0</v>
      </c>
      <c r="AT10" s="161">
        <f t="shared" si="2"/>
        <v>0</v>
      </c>
      <c r="AU10" s="161">
        <f t="shared" si="2"/>
        <v>0</v>
      </c>
      <c r="AV10" s="161">
        <f t="shared" si="2"/>
        <v>0</v>
      </c>
      <c r="AW10" s="161" t="e">
        <f t="shared" si="2"/>
        <v>#NAME?</v>
      </c>
    </row>
    <row r="11" spans="1:50" ht="57.75" customHeight="1" x14ac:dyDescent="0.15">
      <c r="A11" s="14"/>
      <c r="B11" s="162" t="s">
        <v>346</v>
      </c>
      <c r="C11" s="162"/>
      <c r="D11" s="158" t="s">
        <v>377</v>
      </c>
      <c r="E11" s="160"/>
      <c r="F11" s="158"/>
      <c r="G11" s="158"/>
      <c r="H11" s="158"/>
      <c r="I11" s="260"/>
      <c r="J11" s="236">
        <f>SUM(J12:J15)</f>
        <v>896</v>
      </c>
      <c r="K11" s="45">
        <f>SUM(K12:K15)</f>
        <v>311</v>
      </c>
      <c r="L11" s="45">
        <f t="shared" ref="L11:AW11" si="3">SUM(L12:L15)</f>
        <v>585</v>
      </c>
      <c r="M11" s="237">
        <f t="shared" si="3"/>
        <v>0</v>
      </c>
      <c r="N11" s="227"/>
      <c r="O11" s="236">
        <f t="shared" si="3"/>
        <v>311</v>
      </c>
      <c r="P11" s="45">
        <f t="shared" si="3"/>
        <v>30</v>
      </c>
      <c r="Q11" s="45">
        <f t="shared" si="3"/>
        <v>555</v>
      </c>
      <c r="R11" s="45">
        <f t="shared" si="3"/>
        <v>0</v>
      </c>
      <c r="S11" s="45">
        <f t="shared" si="3"/>
        <v>0</v>
      </c>
      <c r="T11" s="45">
        <f t="shared" si="3"/>
        <v>0</v>
      </c>
      <c r="U11" s="45">
        <f t="shared" si="3"/>
        <v>896</v>
      </c>
      <c r="V11" s="45">
        <f t="shared" si="3"/>
        <v>311</v>
      </c>
      <c r="W11" s="45">
        <f t="shared" si="3"/>
        <v>0</v>
      </c>
      <c r="X11" s="45">
        <f t="shared" si="3"/>
        <v>585</v>
      </c>
      <c r="Y11" s="237">
        <f t="shared" si="3"/>
        <v>0</v>
      </c>
      <c r="Z11" s="229"/>
      <c r="AA11" s="236">
        <f t="shared" si="3"/>
        <v>0</v>
      </c>
      <c r="AB11" s="45">
        <f t="shared" si="3"/>
        <v>0</v>
      </c>
      <c r="AC11" s="45">
        <f t="shared" si="3"/>
        <v>0</v>
      </c>
      <c r="AD11" s="45">
        <f t="shared" si="3"/>
        <v>0</v>
      </c>
      <c r="AE11" s="45">
        <f t="shared" si="3"/>
        <v>0</v>
      </c>
      <c r="AF11" s="45">
        <f t="shared" si="3"/>
        <v>0</v>
      </c>
      <c r="AG11" s="45">
        <f t="shared" si="3"/>
        <v>0</v>
      </c>
      <c r="AH11" s="45">
        <f t="shared" si="3"/>
        <v>0</v>
      </c>
      <c r="AI11" s="45">
        <f t="shared" si="3"/>
        <v>0</v>
      </c>
      <c r="AJ11" s="45">
        <f t="shared" si="3"/>
        <v>0</v>
      </c>
      <c r="AK11" s="237">
        <f t="shared" si="3"/>
        <v>0</v>
      </c>
      <c r="AL11" s="229"/>
      <c r="AM11" s="236">
        <f t="shared" si="3"/>
        <v>0</v>
      </c>
      <c r="AN11" s="45">
        <f t="shared" si="3"/>
        <v>0</v>
      </c>
      <c r="AO11" s="45">
        <f t="shared" si="3"/>
        <v>0</v>
      </c>
      <c r="AP11" s="45">
        <f t="shared" si="3"/>
        <v>0</v>
      </c>
      <c r="AQ11" s="45">
        <f t="shared" si="3"/>
        <v>0</v>
      </c>
      <c r="AR11" s="45">
        <f t="shared" si="3"/>
        <v>0</v>
      </c>
      <c r="AS11" s="45">
        <f t="shared" si="3"/>
        <v>0</v>
      </c>
      <c r="AT11" s="45">
        <f t="shared" si="3"/>
        <v>0</v>
      </c>
      <c r="AU11" s="45">
        <f t="shared" si="3"/>
        <v>0</v>
      </c>
      <c r="AV11" s="45">
        <f t="shared" si="3"/>
        <v>0</v>
      </c>
      <c r="AW11" s="45">
        <f t="shared" si="3"/>
        <v>0</v>
      </c>
    </row>
    <row r="12" spans="1:50" ht="50.25" customHeight="1" x14ac:dyDescent="0.15">
      <c r="A12" s="14"/>
      <c r="B12" s="1" t="s">
        <v>369</v>
      </c>
      <c r="C12" s="1"/>
      <c r="D12" s="29" t="s">
        <v>89</v>
      </c>
      <c r="E12" s="29" t="s">
        <v>193</v>
      </c>
      <c r="F12" s="29" t="s">
        <v>7</v>
      </c>
      <c r="G12" s="13" t="s">
        <v>86</v>
      </c>
      <c r="H12" s="29" t="s">
        <v>23</v>
      </c>
      <c r="I12" s="189" t="s">
        <v>108</v>
      </c>
      <c r="J12" s="263">
        <f>1*15*12</f>
        <v>180</v>
      </c>
      <c r="K12" s="31"/>
      <c r="L12" s="31">
        <f>J12</f>
        <v>180</v>
      </c>
      <c r="M12" s="264"/>
      <c r="N12" s="227"/>
      <c r="O12" s="254"/>
      <c r="P12" s="77"/>
      <c r="Q12" s="141">
        <f>J12</f>
        <v>180</v>
      </c>
      <c r="R12" s="77"/>
      <c r="S12" s="77"/>
      <c r="T12" s="77"/>
      <c r="U12" s="76">
        <f>SUM(O12:T12)</f>
        <v>180</v>
      </c>
      <c r="V12" s="77"/>
      <c r="W12" s="77"/>
      <c r="X12" s="31">
        <f>L12</f>
        <v>180</v>
      </c>
      <c r="Y12" s="255"/>
      <c r="Z12" s="80"/>
      <c r="AA12" s="238"/>
      <c r="AB12" s="78"/>
      <c r="AC12" s="78"/>
      <c r="AD12" s="78"/>
      <c r="AE12" s="78"/>
      <c r="AF12" s="78"/>
      <c r="AG12" s="79">
        <f>SUM(AA12:AF12)</f>
        <v>0</v>
      </c>
      <c r="AH12" s="79"/>
      <c r="AI12" s="78"/>
      <c r="AJ12" s="78"/>
      <c r="AK12" s="239"/>
      <c r="AL12" s="80"/>
      <c r="AM12" s="238"/>
      <c r="AN12" s="78"/>
      <c r="AO12" s="78"/>
      <c r="AP12" s="78"/>
      <c r="AQ12" s="78"/>
      <c r="AR12" s="78"/>
      <c r="AS12" s="79">
        <f>SUM(AM12:AR12)</f>
        <v>0</v>
      </c>
      <c r="AT12" s="78"/>
      <c r="AU12" s="78"/>
      <c r="AV12" s="78"/>
      <c r="AW12" s="239">
        <f>AS12-AT12-AU12-AV12</f>
        <v>0</v>
      </c>
    </row>
    <row r="13" spans="1:50" ht="50.25" customHeight="1" x14ac:dyDescent="0.15">
      <c r="A13" s="14"/>
      <c r="B13" s="1" t="s">
        <v>444</v>
      </c>
      <c r="C13" s="1"/>
      <c r="D13" s="29" t="s">
        <v>307</v>
      </c>
      <c r="E13" s="29" t="s">
        <v>193</v>
      </c>
      <c r="F13" s="29" t="s">
        <v>7</v>
      </c>
      <c r="G13" s="13" t="s">
        <v>86</v>
      </c>
      <c r="H13" s="29" t="s">
        <v>23</v>
      </c>
      <c r="I13" s="189" t="s">
        <v>108</v>
      </c>
      <c r="J13" s="263">
        <f>1*15*12</f>
        <v>180</v>
      </c>
      <c r="K13" s="31"/>
      <c r="L13" s="31">
        <f>J13</f>
        <v>180</v>
      </c>
      <c r="M13" s="264"/>
      <c r="N13" s="227"/>
      <c r="O13" s="254"/>
      <c r="P13" s="77"/>
      <c r="Q13" s="141">
        <f>J13</f>
        <v>180</v>
      </c>
      <c r="R13" s="77"/>
      <c r="S13" s="77"/>
      <c r="T13" s="77"/>
      <c r="U13" s="76">
        <f>SUM(O13:T13)</f>
        <v>180</v>
      </c>
      <c r="V13" s="77"/>
      <c r="W13" s="77"/>
      <c r="X13" s="31">
        <f>L13</f>
        <v>180</v>
      </c>
      <c r="Y13" s="255"/>
      <c r="Z13" s="80"/>
      <c r="AA13" s="238"/>
      <c r="AB13" s="78"/>
      <c r="AC13" s="78"/>
      <c r="AD13" s="78"/>
      <c r="AE13" s="78"/>
      <c r="AF13" s="78"/>
      <c r="AG13" s="79">
        <f>SUM(AA13:AF13)</f>
        <v>0</v>
      </c>
      <c r="AH13" s="79"/>
      <c r="AI13" s="78"/>
      <c r="AJ13" s="78"/>
      <c r="AK13" s="239"/>
      <c r="AL13" s="80"/>
      <c r="AM13" s="238"/>
      <c r="AN13" s="78"/>
      <c r="AO13" s="78"/>
      <c r="AP13" s="78"/>
      <c r="AQ13" s="78"/>
      <c r="AR13" s="78"/>
      <c r="AS13" s="79">
        <f>SUM(AM13:AR13)</f>
        <v>0</v>
      </c>
      <c r="AT13" s="78"/>
      <c r="AU13" s="78"/>
      <c r="AV13" s="78"/>
      <c r="AW13" s="239"/>
    </row>
    <row r="14" spans="1:50" ht="54" customHeight="1" x14ac:dyDescent="0.15">
      <c r="A14" s="10"/>
      <c r="B14" s="1" t="s">
        <v>370</v>
      </c>
      <c r="C14" s="1"/>
      <c r="D14" s="29" t="s">
        <v>124</v>
      </c>
      <c r="E14" s="29" t="s">
        <v>378</v>
      </c>
      <c r="F14" s="29" t="s">
        <v>7</v>
      </c>
      <c r="G14" s="29" t="s">
        <v>86</v>
      </c>
      <c r="H14" s="29" t="s">
        <v>23</v>
      </c>
      <c r="I14" s="189" t="s">
        <v>108</v>
      </c>
      <c r="J14" s="261">
        <f>3*10 +119+2*96</f>
        <v>341</v>
      </c>
      <c r="K14" s="11">
        <f>J14-30</f>
        <v>311</v>
      </c>
      <c r="L14" s="11">
        <f>J14-K14</f>
        <v>30</v>
      </c>
      <c r="M14" s="262"/>
      <c r="N14" s="227"/>
      <c r="O14" s="238">
        <f>K14</f>
        <v>311</v>
      </c>
      <c r="P14" s="11">
        <f>L14</f>
        <v>30</v>
      </c>
      <c r="Q14" s="77"/>
      <c r="R14" s="77"/>
      <c r="S14" s="77"/>
      <c r="T14" s="77"/>
      <c r="U14" s="76">
        <f>SUM(O14:T14)</f>
        <v>341</v>
      </c>
      <c r="V14" s="78">
        <f>O14</f>
        <v>311</v>
      </c>
      <c r="W14" s="77"/>
      <c r="X14" s="77">
        <v>30</v>
      </c>
      <c r="Y14" s="255"/>
      <c r="AA14" s="238"/>
      <c r="AB14" s="78"/>
      <c r="AC14" s="78"/>
      <c r="AD14" s="78"/>
      <c r="AE14" s="78"/>
      <c r="AF14" s="78"/>
      <c r="AG14" s="79">
        <f>SUM(AA14:AF14)</f>
        <v>0</v>
      </c>
      <c r="AH14" s="79"/>
      <c r="AI14" s="78"/>
      <c r="AJ14" s="78"/>
      <c r="AK14" s="239"/>
      <c r="AM14" s="238"/>
      <c r="AN14" s="78"/>
      <c r="AO14" s="78"/>
      <c r="AP14" s="78"/>
      <c r="AQ14" s="78"/>
      <c r="AR14" s="78"/>
      <c r="AS14" s="79">
        <f>SUM(AM14:AR14)</f>
        <v>0</v>
      </c>
      <c r="AT14" s="78"/>
      <c r="AU14" s="78"/>
      <c r="AV14" s="78"/>
      <c r="AW14" s="239">
        <f>AS14-AT14-AU14-AV14</f>
        <v>0</v>
      </c>
    </row>
    <row r="15" spans="1:50" s="94" customFormat="1" ht="54.75" customHeight="1" x14ac:dyDescent="0.15">
      <c r="A15" s="10"/>
      <c r="B15" s="1" t="s">
        <v>371</v>
      </c>
      <c r="C15" s="1"/>
      <c r="D15" s="29" t="s">
        <v>372</v>
      </c>
      <c r="E15" s="29" t="s">
        <v>389</v>
      </c>
      <c r="F15" s="29" t="s">
        <v>7</v>
      </c>
      <c r="G15" s="29" t="s">
        <v>86</v>
      </c>
      <c r="H15" s="29" t="s">
        <v>23</v>
      </c>
      <c r="I15" s="189" t="s">
        <v>108</v>
      </c>
      <c r="J15" s="265">
        <f>1*15*13</f>
        <v>195</v>
      </c>
      <c r="K15" s="11"/>
      <c r="L15" s="11">
        <f>J15</f>
        <v>195</v>
      </c>
      <c r="M15" s="262"/>
      <c r="N15" s="227"/>
      <c r="O15" s="254"/>
      <c r="P15" s="77"/>
      <c r="Q15" s="141">
        <f>J15</f>
        <v>195</v>
      </c>
      <c r="R15" s="77"/>
      <c r="S15" s="77"/>
      <c r="T15" s="77"/>
      <c r="U15" s="77">
        <f>SUM(O15:T15)</f>
        <v>195</v>
      </c>
      <c r="V15" s="77"/>
      <c r="W15" s="77"/>
      <c r="X15" s="141">
        <f>L15</f>
        <v>195</v>
      </c>
      <c r="Y15" s="346"/>
      <c r="Z15" s="80"/>
      <c r="AA15" s="238"/>
      <c r="AB15" s="78"/>
      <c r="AC15" s="78"/>
      <c r="AD15" s="78"/>
      <c r="AE15" s="78"/>
      <c r="AF15" s="78"/>
      <c r="AG15" s="78">
        <f>SUM(AA15:AF15)</f>
        <v>0</v>
      </c>
      <c r="AH15" s="78"/>
      <c r="AI15" s="78"/>
      <c r="AJ15" s="78"/>
      <c r="AK15" s="240"/>
      <c r="AL15" s="80"/>
      <c r="AM15" s="238"/>
      <c r="AN15" s="78"/>
      <c r="AO15" s="78"/>
      <c r="AP15" s="78"/>
      <c r="AQ15" s="78"/>
      <c r="AR15" s="78"/>
      <c r="AS15" s="78">
        <f>SUM(AM15:AR15)</f>
        <v>0</v>
      </c>
      <c r="AT15" s="78"/>
      <c r="AU15" s="78"/>
      <c r="AV15" s="78"/>
      <c r="AW15" s="240"/>
    </row>
    <row r="16" spans="1:50" ht="50.25" customHeight="1" x14ac:dyDescent="0.15">
      <c r="A16" s="163"/>
      <c r="B16" s="162" t="s">
        <v>449</v>
      </c>
      <c r="C16" s="162"/>
      <c r="D16" s="158" t="s">
        <v>437</v>
      </c>
      <c r="E16" s="158"/>
      <c r="F16" s="164"/>
      <c r="G16" s="158"/>
      <c r="H16" s="158"/>
      <c r="I16" s="260"/>
      <c r="J16" s="241">
        <f>SUM(J17:J20)</f>
        <v>894</v>
      </c>
      <c r="K16" s="27">
        <f>SUM(K17:K20)</f>
        <v>96</v>
      </c>
      <c r="L16" s="27">
        <f>SUM(L17:L20)</f>
        <v>798</v>
      </c>
      <c r="M16" s="242">
        <f>SUM(M17:M20)</f>
        <v>0</v>
      </c>
      <c r="N16" s="227"/>
      <c r="O16" s="241">
        <f t="shared" ref="O16:Y16" si="4">SUM(O17:O20)</f>
        <v>96</v>
      </c>
      <c r="P16" s="27">
        <f t="shared" si="4"/>
        <v>0</v>
      </c>
      <c r="Q16" s="27">
        <f t="shared" si="4"/>
        <v>798</v>
      </c>
      <c r="R16" s="27">
        <f t="shared" si="4"/>
        <v>0</v>
      </c>
      <c r="S16" s="27">
        <f t="shared" si="4"/>
        <v>0</v>
      </c>
      <c r="T16" s="27">
        <f t="shared" si="4"/>
        <v>0</v>
      </c>
      <c r="U16" s="27">
        <f t="shared" si="4"/>
        <v>894</v>
      </c>
      <c r="V16" s="27">
        <f t="shared" si="4"/>
        <v>96</v>
      </c>
      <c r="W16" s="27">
        <f t="shared" si="4"/>
        <v>0</v>
      </c>
      <c r="X16" s="27">
        <f t="shared" si="4"/>
        <v>894</v>
      </c>
      <c r="Y16" s="242">
        <f t="shared" si="4"/>
        <v>0</v>
      </c>
      <c r="Z16" s="228"/>
      <c r="AA16" s="241">
        <f t="shared" ref="AA16:AK16" si="5">SUM(AA17:AA20)</f>
        <v>0</v>
      </c>
      <c r="AB16" s="27">
        <f t="shared" si="5"/>
        <v>0</v>
      </c>
      <c r="AC16" s="27">
        <f t="shared" si="5"/>
        <v>0</v>
      </c>
      <c r="AD16" s="27">
        <f t="shared" si="5"/>
        <v>0</v>
      </c>
      <c r="AE16" s="27">
        <f t="shared" si="5"/>
        <v>0</v>
      </c>
      <c r="AF16" s="27">
        <f t="shared" si="5"/>
        <v>0</v>
      </c>
      <c r="AG16" s="27">
        <f t="shared" si="5"/>
        <v>0</v>
      </c>
      <c r="AH16" s="27">
        <f t="shared" si="5"/>
        <v>0</v>
      </c>
      <c r="AI16" s="27">
        <f t="shared" si="5"/>
        <v>0</v>
      </c>
      <c r="AJ16" s="27">
        <f t="shared" si="5"/>
        <v>0</v>
      </c>
      <c r="AK16" s="242">
        <f t="shared" si="5"/>
        <v>0</v>
      </c>
      <c r="AL16" s="228"/>
      <c r="AM16" s="241">
        <f t="shared" ref="AM16:AV16" si="6">SUM(AM17:AM20)</f>
        <v>0</v>
      </c>
      <c r="AN16" s="27">
        <f t="shared" si="6"/>
        <v>0</v>
      </c>
      <c r="AO16" s="27">
        <f t="shared" si="6"/>
        <v>0</v>
      </c>
      <c r="AP16" s="27">
        <f t="shared" si="6"/>
        <v>0</v>
      </c>
      <c r="AQ16" s="27">
        <f t="shared" si="6"/>
        <v>0</v>
      </c>
      <c r="AR16" s="27">
        <f t="shared" si="6"/>
        <v>0</v>
      </c>
      <c r="AS16" s="27">
        <f t="shared" si="6"/>
        <v>0</v>
      </c>
      <c r="AT16" s="27">
        <f t="shared" si="6"/>
        <v>0</v>
      </c>
      <c r="AU16" s="27">
        <f t="shared" si="6"/>
        <v>0</v>
      </c>
      <c r="AV16" s="27">
        <f t="shared" si="6"/>
        <v>0</v>
      </c>
      <c r="AW16" s="27" t="e">
        <f>SUM(Aë17:Aë20)</f>
        <v>#NAME?</v>
      </c>
    </row>
    <row r="17" spans="1:49" ht="36.75" customHeight="1" x14ac:dyDescent="0.15">
      <c r="A17" s="10"/>
      <c r="B17" s="1" t="s">
        <v>337</v>
      </c>
      <c r="C17" s="1"/>
      <c r="D17" s="1" t="s">
        <v>373</v>
      </c>
      <c r="E17" s="29" t="s">
        <v>259</v>
      </c>
      <c r="F17" s="29" t="s">
        <v>7</v>
      </c>
      <c r="G17" s="29" t="s">
        <v>88</v>
      </c>
      <c r="H17" s="29" t="s">
        <v>23</v>
      </c>
      <c r="I17" s="189" t="s">
        <v>108</v>
      </c>
      <c r="J17" s="263">
        <f>2*15*13</f>
        <v>390</v>
      </c>
      <c r="K17" s="29"/>
      <c r="L17" s="39">
        <f>J17</f>
        <v>390</v>
      </c>
      <c r="M17" s="262"/>
      <c r="N17" s="227"/>
      <c r="O17" s="256"/>
      <c r="P17" s="81"/>
      <c r="Q17" s="83">
        <f>J17</f>
        <v>390</v>
      </c>
      <c r="R17" s="81"/>
      <c r="S17" s="81"/>
      <c r="T17" s="81"/>
      <c r="U17" s="82">
        <f>SUM(O17:T17)</f>
        <v>390</v>
      </c>
      <c r="V17" s="81"/>
      <c r="W17" s="81"/>
      <c r="X17" s="83">
        <f>L17</f>
        <v>390</v>
      </c>
      <c r="Y17" s="257"/>
      <c r="AA17" s="243"/>
      <c r="AB17" s="82"/>
      <c r="AC17" s="82"/>
      <c r="AD17" s="82"/>
      <c r="AE17" s="82"/>
      <c r="AF17" s="82"/>
      <c r="AG17" s="82">
        <f>SUM(AA17:AF17)</f>
        <v>0</v>
      </c>
      <c r="AH17" s="81"/>
      <c r="AI17" s="81"/>
      <c r="AJ17" s="81"/>
      <c r="AK17" s="244"/>
      <c r="AM17" s="243">
        <f>AA17</f>
        <v>0</v>
      </c>
      <c r="AN17" s="82"/>
      <c r="AO17" s="82"/>
      <c r="AP17" s="82"/>
      <c r="AQ17" s="82"/>
      <c r="AR17" s="82"/>
      <c r="AS17" s="82">
        <f>SUM(AM17:AR17)</f>
        <v>0</v>
      </c>
      <c r="AT17" s="82"/>
      <c r="AU17" s="81"/>
      <c r="AV17" s="81"/>
      <c r="AW17" s="244"/>
    </row>
    <row r="18" spans="1:49" ht="57" customHeight="1" x14ac:dyDescent="0.15">
      <c r="A18" s="10"/>
      <c r="B18" s="1" t="s">
        <v>446</v>
      </c>
      <c r="C18" s="1"/>
      <c r="D18" s="1" t="s">
        <v>11</v>
      </c>
      <c r="E18" s="29" t="s">
        <v>379</v>
      </c>
      <c r="F18" s="29" t="s">
        <v>7</v>
      </c>
      <c r="G18" s="29" t="s">
        <v>91</v>
      </c>
      <c r="H18" s="29" t="s">
        <v>23</v>
      </c>
      <c r="I18" s="189" t="s">
        <v>108</v>
      </c>
      <c r="J18" s="263">
        <f>(1*14*12) +96</f>
        <v>264</v>
      </c>
      <c r="K18" s="40">
        <v>96</v>
      </c>
      <c r="L18" s="39">
        <f>J18-K18</f>
        <v>168</v>
      </c>
      <c r="M18" s="262"/>
      <c r="N18" s="227"/>
      <c r="O18" s="238">
        <v>96</v>
      </c>
      <c r="P18" s="78"/>
      <c r="Q18" s="83">
        <f>L18</f>
        <v>168</v>
      </c>
      <c r="R18" s="81"/>
      <c r="S18" s="81"/>
      <c r="T18" s="81"/>
      <c r="U18" s="165">
        <f>SUM(O18:T18)</f>
        <v>264</v>
      </c>
      <c r="V18" s="82">
        <v>96</v>
      </c>
      <c r="W18" s="81"/>
      <c r="X18" s="83">
        <f>U18</f>
        <v>264</v>
      </c>
      <c r="Y18" s="244"/>
      <c r="AA18" s="245"/>
      <c r="AB18" s="78"/>
      <c r="AC18" s="81"/>
      <c r="AD18" s="81"/>
      <c r="AE18" s="81"/>
      <c r="AF18" s="81"/>
      <c r="AG18" s="82">
        <f>SUM(AA18:AF18)</f>
        <v>0</v>
      </c>
      <c r="AH18" s="82"/>
      <c r="AI18" s="81"/>
      <c r="AJ18" s="81"/>
      <c r="AK18" s="244"/>
      <c r="AM18" s="245"/>
      <c r="AN18" s="78"/>
      <c r="AO18" s="81"/>
      <c r="AP18" s="81"/>
      <c r="AQ18" s="81"/>
      <c r="AR18" s="81"/>
      <c r="AS18" s="82">
        <f>SUM(AM18:AR18)</f>
        <v>0</v>
      </c>
      <c r="AT18" s="82"/>
      <c r="AU18" s="81"/>
      <c r="AV18" s="81"/>
      <c r="AW18" s="244"/>
    </row>
    <row r="19" spans="1:49" ht="48.75" customHeight="1" x14ac:dyDescent="0.15">
      <c r="A19" s="10"/>
      <c r="B19" s="1" t="s">
        <v>374</v>
      </c>
      <c r="C19" s="1"/>
      <c r="D19" s="1" t="s">
        <v>338</v>
      </c>
      <c r="E19" s="29" t="s">
        <v>368</v>
      </c>
      <c r="F19" s="29" t="s">
        <v>7</v>
      </c>
      <c r="G19" s="29" t="s">
        <v>88</v>
      </c>
      <c r="H19" s="29" t="s">
        <v>23</v>
      </c>
      <c r="I19" s="189" t="s">
        <v>108</v>
      </c>
      <c r="J19" s="261">
        <f>1*10*12</f>
        <v>120</v>
      </c>
      <c r="K19" s="11"/>
      <c r="L19" s="39">
        <f>J19</f>
        <v>120</v>
      </c>
      <c r="M19" s="262"/>
      <c r="N19" s="227"/>
      <c r="O19" s="238"/>
      <c r="P19" s="78"/>
      <c r="Q19" s="83">
        <f t="shared" ref="Q19:Q20" si="7">J19</f>
        <v>120</v>
      </c>
      <c r="R19" s="78"/>
      <c r="S19" s="78"/>
      <c r="T19" s="78"/>
      <c r="U19" s="165">
        <f>SUM(O19:T19)</f>
        <v>120</v>
      </c>
      <c r="V19" s="78"/>
      <c r="W19" s="78"/>
      <c r="X19" s="83">
        <f t="shared" ref="X19:X20" si="8">L19</f>
        <v>120</v>
      </c>
      <c r="Y19" s="240"/>
      <c r="Z19" s="80"/>
      <c r="AA19" s="238"/>
      <c r="AB19" s="78"/>
      <c r="AC19" s="78"/>
      <c r="AD19" s="78"/>
      <c r="AE19" s="78"/>
      <c r="AF19" s="78"/>
      <c r="AG19" s="82">
        <f>SUM(AA19:AF19)</f>
        <v>0</v>
      </c>
      <c r="AH19" s="78"/>
      <c r="AI19" s="78"/>
      <c r="AJ19" s="78"/>
      <c r="AK19" s="240"/>
      <c r="AL19" s="80"/>
      <c r="AM19" s="238"/>
      <c r="AN19" s="78"/>
      <c r="AO19" s="78"/>
      <c r="AP19" s="78"/>
      <c r="AQ19" s="78"/>
      <c r="AR19" s="78"/>
      <c r="AS19" s="82">
        <f>SUM(AM19:AR19)</f>
        <v>0</v>
      </c>
      <c r="AT19" s="78"/>
      <c r="AU19" s="78"/>
      <c r="AV19" s="78"/>
      <c r="AW19" s="240"/>
    </row>
    <row r="20" spans="1:49" ht="63.75" customHeight="1" thickBot="1" x14ac:dyDescent="0.2">
      <c r="A20" s="10"/>
      <c r="B20" s="12" t="s">
        <v>445</v>
      </c>
      <c r="C20" s="1"/>
      <c r="D20" s="12" t="s">
        <v>375</v>
      </c>
      <c r="E20" s="29" t="s">
        <v>368</v>
      </c>
      <c r="F20" s="29" t="s">
        <v>7</v>
      </c>
      <c r="G20" s="29" t="s">
        <v>140</v>
      </c>
      <c r="H20" s="29" t="s">
        <v>23</v>
      </c>
      <c r="I20" s="189" t="s">
        <v>108</v>
      </c>
      <c r="J20" s="266">
        <f>1*10*12</f>
        <v>120</v>
      </c>
      <c r="K20" s="267"/>
      <c r="L20" s="268">
        <f>J20</f>
        <v>120</v>
      </c>
      <c r="M20" s="269"/>
      <c r="N20" s="227"/>
      <c r="O20" s="246"/>
      <c r="P20" s="247"/>
      <c r="Q20" s="83">
        <f t="shared" si="7"/>
        <v>120</v>
      </c>
      <c r="R20" s="247"/>
      <c r="S20" s="247"/>
      <c r="T20" s="247"/>
      <c r="U20" s="258">
        <f>SUM(O20:T20)</f>
        <v>120</v>
      </c>
      <c r="V20" s="247"/>
      <c r="W20" s="247"/>
      <c r="X20" s="83">
        <f t="shared" si="8"/>
        <v>120</v>
      </c>
      <c r="Y20" s="249"/>
      <c r="Z20" s="80"/>
      <c r="AA20" s="246"/>
      <c r="AB20" s="247"/>
      <c r="AC20" s="247"/>
      <c r="AD20" s="247"/>
      <c r="AE20" s="247"/>
      <c r="AF20" s="247"/>
      <c r="AG20" s="248">
        <f>SUM(AA20:AF20)</f>
        <v>0</v>
      </c>
      <c r="AH20" s="247"/>
      <c r="AI20" s="247"/>
      <c r="AJ20" s="247"/>
      <c r="AK20" s="249"/>
      <c r="AL20" s="80"/>
      <c r="AM20" s="246"/>
      <c r="AN20" s="247"/>
      <c r="AO20" s="247"/>
      <c r="AP20" s="247"/>
      <c r="AQ20" s="247"/>
      <c r="AR20" s="247"/>
      <c r="AS20" s="248">
        <f>SUM(AM20:AR20)</f>
        <v>0</v>
      </c>
      <c r="AT20" s="247"/>
      <c r="AU20" s="247"/>
      <c r="AV20" s="247"/>
      <c r="AW20" s="249"/>
    </row>
    <row r="21" spans="1:49" x14ac:dyDescent="0.15"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M21" s="74"/>
      <c r="AN21" s="74"/>
      <c r="AO21" s="74"/>
      <c r="AP21" s="74"/>
      <c r="AQ21" s="74"/>
      <c r="AR21" s="74"/>
      <c r="AS21" s="85"/>
      <c r="AT21" s="74"/>
      <c r="AU21" s="74"/>
      <c r="AV21" s="74"/>
      <c r="AW21" s="74"/>
    </row>
    <row r="22" spans="1:49" x14ac:dyDescent="0.15"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M22" s="74"/>
      <c r="AN22" s="74"/>
      <c r="AO22" s="74"/>
      <c r="AP22" s="74"/>
      <c r="AQ22" s="74"/>
      <c r="AR22" s="74"/>
      <c r="AS22" s="85"/>
      <c r="AT22" s="74"/>
      <c r="AU22" s="74"/>
      <c r="AV22" s="74"/>
      <c r="AW22" s="74"/>
    </row>
    <row r="23" spans="1:49" x14ac:dyDescent="0.15"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</row>
    <row r="24" spans="1:49" x14ac:dyDescent="0.15">
      <c r="O24" s="74"/>
      <c r="P24" s="74"/>
      <c r="Q24" s="74"/>
      <c r="R24" s="80"/>
      <c r="S24" s="74"/>
      <c r="T24" s="85"/>
      <c r="U24" s="85"/>
      <c r="V24" s="85"/>
      <c r="W24" s="74"/>
      <c r="X24" s="74"/>
      <c r="Y24" s="85"/>
      <c r="AA24" s="74"/>
      <c r="AB24" s="74"/>
      <c r="AC24" s="74"/>
      <c r="AD24" s="85"/>
      <c r="AE24" s="74"/>
      <c r="AF24" s="74"/>
      <c r="AG24" s="80"/>
      <c r="AH24" s="80"/>
      <c r="AI24" s="74"/>
      <c r="AJ24" s="74"/>
      <c r="AK24" s="85"/>
      <c r="AM24" s="74"/>
      <c r="AN24" s="74"/>
      <c r="AO24" s="74"/>
      <c r="AP24" s="80"/>
      <c r="AQ24" s="74"/>
      <c r="AR24" s="74"/>
      <c r="AS24" s="85"/>
      <c r="AT24" s="85"/>
      <c r="AU24" s="74"/>
      <c r="AV24" s="74"/>
      <c r="AW24" s="85"/>
    </row>
    <row r="25" spans="1:49" x14ac:dyDescent="0.15"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</row>
    <row r="26" spans="1:49" x14ac:dyDescent="0.15">
      <c r="O26" s="74"/>
      <c r="P26" s="74"/>
      <c r="Q26" s="74"/>
      <c r="R26" s="80"/>
      <c r="S26" s="74"/>
      <c r="T26" s="74"/>
      <c r="U26" s="74"/>
      <c r="V26" s="74"/>
      <c r="W26" s="74"/>
      <c r="X26" s="74"/>
      <c r="Y26" s="74"/>
      <c r="AA26" s="74"/>
      <c r="AB26" s="74"/>
      <c r="AC26" s="74"/>
      <c r="AD26" s="80"/>
      <c r="AE26" s="74"/>
      <c r="AF26" s="74"/>
      <c r="AG26" s="74"/>
      <c r="AH26" s="74"/>
      <c r="AI26" s="74"/>
      <c r="AJ26" s="74"/>
      <c r="AK26" s="74"/>
      <c r="AM26" s="74"/>
      <c r="AN26" s="74"/>
      <c r="AO26" s="74"/>
      <c r="AP26" s="80"/>
      <c r="AQ26" s="74"/>
      <c r="AR26" s="74"/>
      <c r="AS26" s="74"/>
      <c r="AT26" s="74"/>
      <c r="AU26" s="74"/>
      <c r="AV26" s="74"/>
      <c r="AW26" s="74"/>
    </row>
    <row r="27" spans="1:49" x14ac:dyDescent="0.15"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</row>
    <row r="28" spans="1:49" x14ac:dyDescent="0.15">
      <c r="O28" s="86"/>
      <c r="P28" s="74"/>
      <c r="Q28" s="74"/>
      <c r="R28" s="74"/>
      <c r="S28" s="74"/>
      <c r="T28" s="74"/>
      <c r="U28" s="74"/>
      <c r="V28" s="74"/>
      <c r="W28" s="74"/>
      <c r="X28" s="74"/>
      <c r="Y28" s="74"/>
      <c r="AA28" s="80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M28" s="85"/>
      <c r="AN28" s="74"/>
      <c r="AO28" s="74"/>
      <c r="AP28" s="74"/>
      <c r="AQ28" s="74"/>
      <c r="AR28" s="74"/>
      <c r="AS28" s="74"/>
      <c r="AT28" s="74"/>
      <c r="AU28" s="74"/>
      <c r="AV28" s="74"/>
      <c r="AW28" s="74"/>
    </row>
    <row r="29" spans="1:49" x14ac:dyDescent="0.15"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</row>
    <row r="30" spans="1:49" x14ac:dyDescent="0.15"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49" x14ac:dyDescent="0.15"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</row>
    <row r="32" spans="1:49" x14ac:dyDescent="0.15"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15:49" x14ac:dyDescent="0.15"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15:49" x14ac:dyDescent="0.15"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5" spans="15:49" x14ac:dyDescent="0.15"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</row>
    <row r="36" spans="15:49" x14ac:dyDescent="0.15"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</row>
    <row r="37" spans="15:49" x14ac:dyDescent="0.15"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</row>
    <row r="38" spans="15:49" x14ac:dyDescent="0.15"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15:49" x14ac:dyDescent="0.15"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  <row r="40" spans="15:49" x14ac:dyDescent="0.15"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</row>
    <row r="41" spans="15:49" x14ac:dyDescent="0.15"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</row>
    <row r="42" spans="15:49" x14ac:dyDescent="0.15"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</row>
    <row r="43" spans="15:49" x14ac:dyDescent="0.15"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</row>
    <row r="44" spans="15:49" x14ac:dyDescent="0.15"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</row>
    <row r="45" spans="15:49" x14ac:dyDescent="0.15"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</row>
    <row r="46" spans="15:49" x14ac:dyDescent="0.15"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</row>
    <row r="47" spans="15:49" x14ac:dyDescent="0.15"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</row>
    <row r="48" spans="15:49" x14ac:dyDescent="0.15"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</row>
    <row r="49" spans="15:49" x14ac:dyDescent="0.15"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</row>
    <row r="50" spans="15:49" x14ac:dyDescent="0.15"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</row>
    <row r="51" spans="15:49" x14ac:dyDescent="0.15"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</row>
    <row r="52" spans="15:49" x14ac:dyDescent="0.15"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</row>
    <row r="53" spans="15:49" x14ac:dyDescent="0.15"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</row>
    <row r="54" spans="15:49" x14ac:dyDescent="0.15"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</row>
    <row r="55" spans="15:49" x14ac:dyDescent="0.15"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</row>
    <row r="56" spans="15:49" x14ac:dyDescent="0.15"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</row>
    <row r="57" spans="15:49" x14ac:dyDescent="0.15"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</row>
    <row r="58" spans="15:49" x14ac:dyDescent="0.15"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</row>
    <row r="59" spans="15:49" x14ac:dyDescent="0.15"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</row>
    <row r="60" spans="15:49" x14ac:dyDescent="0.15"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</row>
    <row r="61" spans="15:49" x14ac:dyDescent="0.15"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</row>
    <row r="62" spans="15:49" x14ac:dyDescent="0.15"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</row>
    <row r="63" spans="15:49" x14ac:dyDescent="0.15"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</row>
    <row r="64" spans="15:49" x14ac:dyDescent="0.15"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</row>
    <row r="65" spans="15:49" x14ac:dyDescent="0.15"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</row>
    <row r="66" spans="15:49" x14ac:dyDescent="0.15"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</row>
    <row r="67" spans="15:49" x14ac:dyDescent="0.15"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5:49" x14ac:dyDescent="0.15"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</row>
    <row r="69" spans="15:49" x14ac:dyDescent="0.15"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</row>
    <row r="70" spans="15:49" x14ac:dyDescent="0.15"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</row>
    <row r="71" spans="15:49" x14ac:dyDescent="0.15"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</row>
    <row r="72" spans="15:49" x14ac:dyDescent="0.15"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</row>
    <row r="73" spans="15:49" x14ac:dyDescent="0.15"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</row>
    <row r="74" spans="15:49" x14ac:dyDescent="0.15"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</row>
    <row r="75" spans="15:49" x14ac:dyDescent="0.15"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</row>
    <row r="76" spans="15:49" x14ac:dyDescent="0.15"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</row>
    <row r="77" spans="15:49" x14ac:dyDescent="0.15"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</row>
    <row r="78" spans="15:49" x14ac:dyDescent="0.15"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</row>
    <row r="79" spans="15:49" x14ac:dyDescent="0.15"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</row>
    <row r="80" spans="15:49" x14ac:dyDescent="0.15"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</row>
    <row r="81" spans="15:49" x14ac:dyDescent="0.15"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</row>
    <row r="82" spans="15:49" x14ac:dyDescent="0.15"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</row>
    <row r="83" spans="15:49" x14ac:dyDescent="0.15"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</row>
    <row r="84" spans="15:49" x14ac:dyDescent="0.15"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</row>
    <row r="85" spans="15:49" x14ac:dyDescent="0.15"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</row>
    <row r="86" spans="15:49" x14ac:dyDescent="0.15"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</row>
    <row r="87" spans="15:49" x14ac:dyDescent="0.15"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</row>
    <row r="88" spans="15:49" x14ac:dyDescent="0.15"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</row>
    <row r="89" spans="15:49" x14ac:dyDescent="0.15"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</row>
    <row r="90" spans="15:49" x14ac:dyDescent="0.15"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</row>
    <row r="91" spans="15:49" x14ac:dyDescent="0.15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5:49" x14ac:dyDescent="0.15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5:49" x14ac:dyDescent="0.15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5:49" x14ac:dyDescent="0.15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5:49" x14ac:dyDescent="0.15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5:49" x14ac:dyDescent="0.15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</sheetData>
  <customSheetViews>
    <customSheetView guid="{033B3830-A9CA-8D41-BC84-D742977C4300}" scale="120" showGridLines="0" topLeftCell="A18">
      <selection activeCell="K18" sqref="K18"/>
      <pageMargins left="0.7" right="0.7" top="0.75" bottom="0.75" header="0.3" footer="0.3"/>
      <pageSetup orientation="portrait"/>
    </customSheetView>
    <customSheetView guid="{694CA80F-83B4-4B42-A82F-AA4B9565E59A}" scale="80" showGridLines="0" topLeftCell="P8">
      <selection activeCell="AK9" sqref="AK9"/>
      <pageMargins left="0.7" right="0.7" top="0.75" bottom="0.75" header="0.3" footer="0.3"/>
      <pageSetup orientation="portrait"/>
    </customSheetView>
    <customSheetView guid="{072E7775-6D14-894A-BE79-51AE1E53E486}" scale="150" showGridLines="0">
      <pane xSplit="1" topLeftCell="C1" activePane="topRight" state="frozenSplit"/>
      <selection pane="topRight" activeCell="C33" sqref="C33"/>
      <pageMargins left="0.7" right="0.7" top="0.75" bottom="0.75" header="0.3" footer="0.3"/>
      <pageSetup orientation="portrait"/>
    </customSheetView>
  </customSheetViews>
  <mergeCells count="17">
    <mergeCell ref="K6:L6"/>
    <mergeCell ref="M6:M7"/>
    <mergeCell ref="A2:M2"/>
    <mergeCell ref="A3:M3"/>
    <mergeCell ref="A4:M4"/>
    <mergeCell ref="A5:M5"/>
    <mergeCell ref="A6:A7"/>
    <mergeCell ref="B6:B7"/>
    <mergeCell ref="D6:D7"/>
    <mergeCell ref="F6:G6"/>
    <mergeCell ref="H6:I6"/>
    <mergeCell ref="J6:J7"/>
    <mergeCell ref="A9:B9"/>
    <mergeCell ref="O7:Y7"/>
    <mergeCell ref="AA7:AK7"/>
    <mergeCell ref="AM7:AW7"/>
    <mergeCell ref="B8:D8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8"/>
  <sheetViews>
    <sheetView showGridLines="0" topLeftCell="A22" zoomScale="89" zoomScaleNormal="89" zoomScalePageLayoutView="125" workbookViewId="0">
      <selection activeCell="B15" sqref="B15"/>
    </sheetView>
  </sheetViews>
  <sheetFormatPr baseColWidth="10" defaultColWidth="8.83203125" defaultRowHeight="13" x14ac:dyDescent="0.15"/>
  <cols>
    <col min="1" max="1" width="12.83203125" style="65" customWidth="1"/>
    <col min="2" max="2" width="66.83203125" style="65" customWidth="1"/>
    <col min="3" max="3" width="22.1640625" style="65" customWidth="1"/>
    <col min="4" max="4" width="38.33203125" style="65" customWidth="1"/>
    <col min="5" max="5" width="26" style="65" customWidth="1"/>
    <col min="6" max="6" width="20.6640625" style="65" customWidth="1"/>
    <col min="7" max="7" width="18.83203125" style="65" customWidth="1"/>
    <col min="8" max="8" width="15.5" style="65" customWidth="1"/>
    <col min="9" max="9" width="12.1640625" style="65" customWidth="1"/>
    <col min="10" max="10" width="10.6640625" style="65" customWidth="1"/>
    <col min="11" max="11" width="12.83203125" style="65" customWidth="1"/>
    <col min="12" max="12" width="12" style="65" customWidth="1"/>
    <col min="13" max="13" width="14.5" style="65" customWidth="1"/>
    <col min="14" max="14" width="14.5" style="74" customWidth="1"/>
    <col min="15" max="15" width="15.1640625" style="3" customWidth="1"/>
    <col min="16" max="16" width="13.1640625" style="3" customWidth="1"/>
    <col min="17" max="17" width="13.5" style="3" customWidth="1"/>
    <col min="18" max="19" width="8.83203125" style="3" customWidth="1"/>
    <col min="20" max="20" width="11" style="3" customWidth="1"/>
    <col min="21" max="21" width="13.6640625" style="178" customWidth="1"/>
    <col min="22" max="22" width="14.5" style="3" customWidth="1"/>
    <col min="23" max="23" width="8.83203125" style="3" customWidth="1"/>
    <col min="24" max="24" width="15.33203125" style="3" customWidth="1"/>
    <col min="25" max="25" width="14.5" style="3" customWidth="1"/>
    <col min="26" max="26" width="8.83203125" style="74"/>
    <col min="27" max="27" width="13.1640625" style="3" customWidth="1"/>
    <col min="28" max="28" width="10.33203125" style="3" customWidth="1"/>
    <col min="29" max="29" width="9.5" style="3" bestFit="1" customWidth="1"/>
    <col min="30" max="32" width="8.83203125" style="3"/>
    <col min="33" max="33" width="12.5" style="3" customWidth="1"/>
    <col min="34" max="34" width="10.6640625" style="3" bestFit="1" customWidth="1"/>
    <col min="35" max="36" width="8.83203125" style="3"/>
    <col min="37" max="37" width="11.5" style="3" customWidth="1"/>
    <col min="38" max="38" width="8.83203125" style="74"/>
    <col min="39" max="39" width="13.5" style="3" customWidth="1"/>
    <col min="40" max="40" width="9.5" style="3" bestFit="1" customWidth="1"/>
    <col min="41" max="42" width="8.83203125" style="3"/>
    <col min="43" max="43" width="12.83203125" style="3" customWidth="1"/>
    <col min="44" max="44" width="8.83203125" style="3"/>
    <col min="45" max="45" width="15.5" style="3" customWidth="1"/>
    <col min="46" max="46" width="14.6640625" style="3" customWidth="1"/>
    <col min="47" max="49" width="8.83203125" style="3"/>
    <col min="50" max="50" width="8.83203125" style="65" customWidth="1"/>
    <col min="51" max="16384" width="8.83203125" style="65"/>
  </cols>
  <sheetData>
    <row r="1" spans="1:50" x14ac:dyDescent="0.15">
      <c r="A1" s="58"/>
      <c r="B1" s="58" t="s">
        <v>3</v>
      </c>
      <c r="C1" s="58"/>
      <c r="D1" s="58"/>
      <c r="E1" s="58"/>
      <c r="F1" s="58"/>
      <c r="G1" s="59"/>
      <c r="H1" s="59"/>
      <c r="I1" s="59"/>
      <c r="J1" s="59"/>
      <c r="K1" s="59"/>
      <c r="L1" s="59"/>
      <c r="M1" s="59"/>
    </row>
    <row r="2" spans="1:50" x14ac:dyDescent="0.15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50" x14ac:dyDescent="0.15">
      <c r="A3" s="396" t="s">
        <v>134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T3" s="66"/>
      <c r="AE3" s="67"/>
    </row>
    <row r="4" spans="1:50" ht="12.75" customHeight="1" x14ac:dyDescent="0.15">
      <c r="A4" s="397" t="s">
        <v>453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9"/>
      <c r="T4" s="68"/>
      <c r="AS4" s="67"/>
    </row>
    <row r="5" spans="1:50" ht="14" thickBot="1" x14ac:dyDescent="0.2">
      <c r="A5" s="400" t="s">
        <v>135</v>
      </c>
      <c r="B5" s="400"/>
      <c r="C5" s="400"/>
      <c r="D5" s="400"/>
      <c r="E5" s="400"/>
      <c r="F5" s="400"/>
      <c r="G5" s="400"/>
      <c r="H5" s="400"/>
      <c r="I5" s="400"/>
      <c r="J5" s="401"/>
      <c r="K5" s="401"/>
      <c r="L5" s="401"/>
      <c r="M5" s="401"/>
      <c r="N5" s="85"/>
    </row>
    <row r="6" spans="1:50" ht="14" thickBot="1" x14ac:dyDescent="0.2">
      <c r="A6" s="375" t="s">
        <v>5</v>
      </c>
      <c r="B6" s="353"/>
      <c r="C6" s="43"/>
      <c r="D6" s="353" t="s">
        <v>178</v>
      </c>
      <c r="E6" s="43"/>
      <c r="F6" s="353" t="s">
        <v>64</v>
      </c>
      <c r="G6" s="353"/>
      <c r="H6" s="353" t="s">
        <v>8</v>
      </c>
      <c r="I6" s="354"/>
      <c r="J6" s="402" t="s">
        <v>65</v>
      </c>
      <c r="K6" s="393" t="s">
        <v>0</v>
      </c>
      <c r="L6" s="393"/>
      <c r="M6" s="394" t="s">
        <v>66</v>
      </c>
      <c r="N6" s="80"/>
    </row>
    <row r="7" spans="1:50" ht="39" x14ac:dyDescent="0.15">
      <c r="A7" s="375"/>
      <c r="B7" s="353"/>
      <c r="C7" s="53" t="s">
        <v>6</v>
      </c>
      <c r="D7" s="353"/>
      <c r="E7" s="43" t="s">
        <v>172</v>
      </c>
      <c r="F7" s="13" t="s">
        <v>67</v>
      </c>
      <c r="G7" s="13" t="s">
        <v>68</v>
      </c>
      <c r="H7" s="43" t="s">
        <v>1</v>
      </c>
      <c r="I7" s="186" t="s">
        <v>2</v>
      </c>
      <c r="J7" s="403"/>
      <c r="K7" s="43" t="s">
        <v>69</v>
      </c>
      <c r="L7" s="43" t="s">
        <v>136</v>
      </c>
      <c r="M7" s="395"/>
      <c r="O7" s="383" t="s">
        <v>156</v>
      </c>
      <c r="P7" s="384"/>
      <c r="Q7" s="384"/>
      <c r="R7" s="384"/>
      <c r="S7" s="384"/>
      <c r="T7" s="384"/>
      <c r="U7" s="384"/>
      <c r="V7" s="384"/>
      <c r="W7" s="384"/>
      <c r="X7" s="384"/>
      <c r="Y7" s="385"/>
      <c r="AA7" s="386" t="s">
        <v>157</v>
      </c>
      <c r="AB7" s="387"/>
      <c r="AC7" s="387"/>
      <c r="AD7" s="387"/>
      <c r="AE7" s="387"/>
      <c r="AF7" s="387"/>
      <c r="AG7" s="387"/>
      <c r="AH7" s="387"/>
      <c r="AI7" s="387"/>
      <c r="AJ7" s="387"/>
      <c r="AK7" s="388"/>
      <c r="AM7" s="389" t="s">
        <v>158</v>
      </c>
      <c r="AN7" s="390"/>
      <c r="AO7" s="390"/>
      <c r="AP7" s="390"/>
      <c r="AQ7" s="390"/>
      <c r="AR7" s="390"/>
      <c r="AS7" s="390"/>
      <c r="AT7" s="390"/>
      <c r="AU7" s="390"/>
      <c r="AV7" s="390"/>
      <c r="AW7" s="391"/>
    </row>
    <row r="8" spans="1:50" ht="65" x14ac:dyDescent="0.15">
      <c r="A8" s="8"/>
      <c r="B8" s="392" t="s">
        <v>137</v>
      </c>
      <c r="C8" s="392"/>
      <c r="D8" s="392"/>
      <c r="E8" s="42"/>
      <c r="F8" s="29" t="s">
        <v>7</v>
      </c>
      <c r="G8" s="29" t="s">
        <v>138</v>
      </c>
      <c r="H8" s="29"/>
      <c r="I8" s="187"/>
      <c r="J8" s="261"/>
      <c r="K8" s="11"/>
      <c r="L8" s="11"/>
      <c r="M8" s="262"/>
      <c r="O8" s="252" t="s">
        <v>159</v>
      </c>
      <c r="P8" s="61" t="s">
        <v>160</v>
      </c>
      <c r="Q8" s="61" t="s">
        <v>161</v>
      </c>
      <c r="R8" s="61" t="s">
        <v>216</v>
      </c>
      <c r="S8" s="61" t="s">
        <v>162</v>
      </c>
      <c r="T8" s="61" t="s">
        <v>163</v>
      </c>
      <c r="U8" s="179" t="s">
        <v>164</v>
      </c>
      <c r="V8" s="61" t="s">
        <v>165</v>
      </c>
      <c r="W8" s="61" t="s">
        <v>166</v>
      </c>
      <c r="X8" s="61" t="s">
        <v>167</v>
      </c>
      <c r="Y8" s="253" t="s">
        <v>168</v>
      </c>
      <c r="AA8" s="250" t="s">
        <v>159</v>
      </c>
      <c r="AB8" s="62" t="s">
        <v>160</v>
      </c>
      <c r="AC8" s="62" t="s">
        <v>161</v>
      </c>
      <c r="AD8" s="62" t="s">
        <v>216</v>
      </c>
      <c r="AE8" s="62" t="s">
        <v>162</v>
      </c>
      <c r="AF8" s="62" t="s">
        <v>163</v>
      </c>
      <c r="AG8" s="62" t="s">
        <v>164</v>
      </c>
      <c r="AH8" s="62" t="s">
        <v>165</v>
      </c>
      <c r="AI8" s="62" t="s">
        <v>169</v>
      </c>
      <c r="AJ8" s="62" t="s">
        <v>167</v>
      </c>
      <c r="AK8" s="251" t="s">
        <v>168</v>
      </c>
      <c r="AL8" s="85"/>
      <c r="AM8" s="231" t="s">
        <v>159</v>
      </c>
      <c r="AN8" s="63" t="s">
        <v>160</v>
      </c>
      <c r="AO8" s="63" t="s">
        <v>161</v>
      </c>
      <c r="AP8" s="63" t="s">
        <v>216</v>
      </c>
      <c r="AQ8" s="63" t="s">
        <v>162</v>
      </c>
      <c r="AR8" s="63" t="s">
        <v>163</v>
      </c>
      <c r="AS8" s="63" t="s">
        <v>164</v>
      </c>
      <c r="AT8" s="63" t="s">
        <v>165</v>
      </c>
      <c r="AU8" s="63" t="s">
        <v>170</v>
      </c>
      <c r="AV8" s="63" t="s">
        <v>167</v>
      </c>
      <c r="AW8" s="232" t="s">
        <v>168</v>
      </c>
    </row>
    <row r="9" spans="1:50" s="3" customFormat="1" ht="22.5" customHeight="1" x14ac:dyDescent="0.2">
      <c r="A9" s="382" t="s">
        <v>171</v>
      </c>
      <c r="B9" s="382"/>
      <c r="C9" s="70"/>
      <c r="D9" s="71"/>
      <c r="E9" s="71"/>
      <c r="F9" s="71"/>
      <c r="G9" s="71"/>
      <c r="H9" s="72"/>
      <c r="I9" s="259"/>
      <c r="J9" s="275">
        <f>J10</f>
        <v>5519</v>
      </c>
      <c r="K9" s="91">
        <f t="shared" ref="K9:AW9" si="0">K10</f>
        <v>1659</v>
      </c>
      <c r="L9" s="91">
        <f t="shared" si="0"/>
        <v>3860</v>
      </c>
      <c r="M9" s="276">
        <f t="shared" si="0"/>
        <v>0</v>
      </c>
      <c r="N9" s="272"/>
      <c r="O9" s="275">
        <f t="shared" si="0"/>
        <v>1383.5</v>
      </c>
      <c r="P9" s="91">
        <f t="shared" si="0"/>
        <v>160</v>
      </c>
      <c r="Q9" s="91">
        <f t="shared" si="0"/>
        <v>3278</v>
      </c>
      <c r="R9" s="91">
        <f t="shared" si="0"/>
        <v>0</v>
      </c>
      <c r="S9" s="91">
        <f t="shared" si="0"/>
        <v>0</v>
      </c>
      <c r="T9" s="91">
        <f t="shared" si="0"/>
        <v>0</v>
      </c>
      <c r="U9" s="91">
        <f t="shared" si="0"/>
        <v>4821.5</v>
      </c>
      <c r="V9" s="91">
        <f t="shared" si="0"/>
        <v>1423.5</v>
      </c>
      <c r="W9" s="91">
        <f t="shared" si="0"/>
        <v>0</v>
      </c>
      <c r="X9" s="91">
        <f t="shared" si="0"/>
        <v>3398</v>
      </c>
      <c r="Y9" s="276">
        <f t="shared" si="0"/>
        <v>0</v>
      </c>
      <c r="Z9" s="272"/>
      <c r="AA9" s="275">
        <f t="shared" si="0"/>
        <v>235.5</v>
      </c>
      <c r="AB9" s="91">
        <f t="shared" si="0"/>
        <v>30</v>
      </c>
      <c r="AC9" s="91">
        <f t="shared" si="0"/>
        <v>432</v>
      </c>
      <c r="AD9" s="91">
        <f t="shared" si="0"/>
        <v>0</v>
      </c>
      <c r="AE9" s="91">
        <f t="shared" si="0"/>
        <v>0</v>
      </c>
      <c r="AF9" s="91">
        <f t="shared" si="0"/>
        <v>0</v>
      </c>
      <c r="AG9" s="91">
        <f t="shared" si="0"/>
        <v>697.5</v>
      </c>
      <c r="AH9" s="91">
        <f t="shared" si="0"/>
        <v>235.5</v>
      </c>
      <c r="AI9" s="91">
        <f t="shared" si="0"/>
        <v>0</v>
      </c>
      <c r="AJ9" s="91">
        <f t="shared" si="0"/>
        <v>462</v>
      </c>
      <c r="AK9" s="276">
        <f t="shared" si="0"/>
        <v>0</v>
      </c>
      <c r="AL9" s="272"/>
      <c r="AM9" s="275">
        <f t="shared" si="0"/>
        <v>0</v>
      </c>
      <c r="AN9" s="91">
        <f t="shared" si="0"/>
        <v>0</v>
      </c>
      <c r="AO9" s="91">
        <f t="shared" si="0"/>
        <v>0</v>
      </c>
      <c r="AP9" s="91">
        <f t="shared" si="0"/>
        <v>0</v>
      </c>
      <c r="AQ9" s="91">
        <f t="shared" si="0"/>
        <v>0</v>
      </c>
      <c r="AR9" s="91">
        <f t="shared" si="0"/>
        <v>0</v>
      </c>
      <c r="AS9" s="91">
        <f t="shared" si="0"/>
        <v>0</v>
      </c>
      <c r="AT9" s="91">
        <f t="shared" si="0"/>
        <v>0</v>
      </c>
      <c r="AU9" s="91">
        <f t="shared" si="0"/>
        <v>0</v>
      </c>
      <c r="AV9" s="91">
        <f t="shared" si="0"/>
        <v>0</v>
      </c>
      <c r="AW9" s="91">
        <f t="shared" si="0"/>
        <v>0</v>
      </c>
      <c r="AX9" s="64"/>
    </row>
    <row r="10" spans="1:50" s="2" customFormat="1" ht="62.25" customHeight="1" x14ac:dyDescent="0.2">
      <c r="A10" s="166">
        <v>2</v>
      </c>
      <c r="B10" s="46" t="s">
        <v>141</v>
      </c>
      <c r="C10" s="166"/>
      <c r="D10" s="151" t="s">
        <v>434</v>
      </c>
      <c r="E10" s="151"/>
      <c r="F10" s="151"/>
      <c r="G10" s="151"/>
      <c r="H10" s="152"/>
      <c r="I10" s="294"/>
      <c r="J10" s="277">
        <f>J11+J14+J20</f>
        <v>5519</v>
      </c>
      <c r="K10" s="153">
        <f t="shared" ref="K10:AW10" si="1">K11+K14+K20</f>
        <v>1659</v>
      </c>
      <c r="L10" s="153">
        <f t="shared" si="1"/>
        <v>3860</v>
      </c>
      <c r="M10" s="278">
        <f t="shared" si="1"/>
        <v>0</v>
      </c>
      <c r="N10" s="272"/>
      <c r="O10" s="277">
        <f t="shared" si="1"/>
        <v>1383.5</v>
      </c>
      <c r="P10" s="153">
        <f t="shared" si="1"/>
        <v>160</v>
      </c>
      <c r="Q10" s="153">
        <f t="shared" si="1"/>
        <v>3278</v>
      </c>
      <c r="R10" s="153">
        <f t="shared" si="1"/>
        <v>0</v>
      </c>
      <c r="S10" s="153">
        <f t="shared" si="1"/>
        <v>0</v>
      </c>
      <c r="T10" s="153">
        <f t="shared" si="1"/>
        <v>0</v>
      </c>
      <c r="U10" s="153">
        <f t="shared" si="1"/>
        <v>4821.5</v>
      </c>
      <c r="V10" s="153">
        <f t="shared" si="1"/>
        <v>1423.5</v>
      </c>
      <c r="W10" s="153">
        <f t="shared" si="1"/>
        <v>0</v>
      </c>
      <c r="X10" s="153">
        <f t="shared" si="1"/>
        <v>3398</v>
      </c>
      <c r="Y10" s="278">
        <f t="shared" si="1"/>
        <v>0</v>
      </c>
      <c r="Z10" s="272"/>
      <c r="AA10" s="277">
        <f t="shared" si="1"/>
        <v>235.5</v>
      </c>
      <c r="AB10" s="153">
        <f t="shared" si="1"/>
        <v>30</v>
      </c>
      <c r="AC10" s="153">
        <f t="shared" si="1"/>
        <v>432</v>
      </c>
      <c r="AD10" s="153">
        <f t="shared" si="1"/>
        <v>0</v>
      </c>
      <c r="AE10" s="153">
        <f t="shared" si="1"/>
        <v>0</v>
      </c>
      <c r="AF10" s="153">
        <f t="shared" si="1"/>
        <v>0</v>
      </c>
      <c r="AG10" s="153">
        <f t="shared" si="1"/>
        <v>697.5</v>
      </c>
      <c r="AH10" s="153">
        <f t="shared" si="1"/>
        <v>235.5</v>
      </c>
      <c r="AI10" s="153">
        <f t="shared" si="1"/>
        <v>0</v>
      </c>
      <c r="AJ10" s="153">
        <f t="shared" si="1"/>
        <v>462</v>
      </c>
      <c r="AK10" s="278">
        <f t="shared" si="1"/>
        <v>0</v>
      </c>
      <c r="AL10" s="272"/>
      <c r="AM10" s="277">
        <f t="shared" si="1"/>
        <v>0</v>
      </c>
      <c r="AN10" s="153">
        <f t="shared" si="1"/>
        <v>0</v>
      </c>
      <c r="AO10" s="153">
        <f t="shared" si="1"/>
        <v>0</v>
      </c>
      <c r="AP10" s="153">
        <f t="shared" si="1"/>
        <v>0</v>
      </c>
      <c r="AQ10" s="153">
        <f t="shared" si="1"/>
        <v>0</v>
      </c>
      <c r="AR10" s="153">
        <f t="shared" si="1"/>
        <v>0</v>
      </c>
      <c r="AS10" s="153">
        <f t="shared" si="1"/>
        <v>0</v>
      </c>
      <c r="AT10" s="153">
        <f t="shared" si="1"/>
        <v>0</v>
      </c>
      <c r="AU10" s="153">
        <f t="shared" si="1"/>
        <v>0</v>
      </c>
      <c r="AV10" s="153">
        <f t="shared" si="1"/>
        <v>0</v>
      </c>
      <c r="AW10" s="153">
        <f t="shared" si="1"/>
        <v>0</v>
      </c>
      <c r="AX10" s="74"/>
    </row>
    <row r="11" spans="1:50" s="92" customFormat="1" ht="31.5" customHeight="1" x14ac:dyDescent="0.15">
      <c r="A11" s="138"/>
      <c r="B11" s="163" t="s">
        <v>348</v>
      </c>
      <c r="C11" s="167"/>
      <c r="D11" s="157" t="s">
        <v>433</v>
      </c>
      <c r="E11" s="167"/>
      <c r="F11" s="138"/>
      <c r="G11" s="138"/>
      <c r="H11" s="138"/>
      <c r="I11" s="270"/>
      <c r="J11" s="279">
        <f>SUM(J12:J13)</f>
        <v>96</v>
      </c>
      <c r="K11" s="176">
        <f t="shared" ref="K11:AW11" si="2">SUM(K12:K13)</f>
        <v>96</v>
      </c>
      <c r="L11" s="176">
        <f t="shared" si="2"/>
        <v>0</v>
      </c>
      <c r="M11" s="280">
        <f t="shared" si="2"/>
        <v>0</v>
      </c>
      <c r="N11" s="272"/>
      <c r="O11" s="279">
        <f t="shared" si="2"/>
        <v>96</v>
      </c>
      <c r="P11" s="176">
        <f t="shared" si="2"/>
        <v>0</v>
      </c>
      <c r="Q11" s="176">
        <f t="shared" si="2"/>
        <v>0</v>
      </c>
      <c r="R11" s="176">
        <f t="shared" si="2"/>
        <v>0</v>
      </c>
      <c r="S11" s="176">
        <f t="shared" si="2"/>
        <v>0</v>
      </c>
      <c r="T11" s="176">
        <f t="shared" si="2"/>
        <v>0</v>
      </c>
      <c r="U11" s="176">
        <f t="shared" si="2"/>
        <v>96</v>
      </c>
      <c r="V11" s="176">
        <f t="shared" si="2"/>
        <v>96</v>
      </c>
      <c r="W11" s="345">
        <f t="shared" si="2"/>
        <v>0</v>
      </c>
      <c r="X11" s="176">
        <f t="shared" si="2"/>
        <v>0</v>
      </c>
      <c r="Y11" s="280">
        <f t="shared" si="2"/>
        <v>0</v>
      </c>
      <c r="Z11" s="273"/>
      <c r="AA11" s="279">
        <f t="shared" si="2"/>
        <v>0</v>
      </c>
      <c r="AB11" s="176">
        <f t="shared" si="2"/>
        <v>0</v>
      </c>
      <c r="AC11" s="176">
        <f t="shared" si="2"/>
        <v>0</v>
      </c>
      <c r="AD11" s="176">
        <f t="shared" si="2"/>
        <v>0</v>
      </c>
      <c r="AE11" s="176">
        <f t="shared" si="2"/>
        <v>0</v>
      </c>
      <c r="AF11" s="176">
        <f t="shared" si="2"/>
        <v>0</v>
      </c>
      <c r="AG11" s="176">
        <f t="shared" si="2"/>
        <v>0</v>
      </c>
      <c r="AH11" s="176">
        <f t="shared" si="2"/>
        <v>0</v>
      </c>
      <c r="AI11" s="176">
        <f t="shared" si="2"/>
        <v>0</v>
      </c>
      <c r="AJ11" s="176">
        <f t="shared" si="2"/>
        <v>0</v>
      </c>
      <c r="AK11" s="280">
        <f t="shared" si="2"/>
        <v>0</v>
      </c>
      <c r="AL11" s="273"/>
      <c r="AM11" s="279">
        <f t="shared" si="2"/>
        <v>0</v>
      </c>
      <c r="AN11" s="176">
        <f t="shared" si="2"/>
        <v>0</v>
      </c>
      <c r="AO11" s="176">
        <f t="shared" si="2"/>
        <v>0</v>
      </c>
      <c r="AP11" s="176">
        <f t="shared" si="2"/>
        <v>0</v>
      </c>
      <c r="AQ11" s="176">
        <f t="shared" si="2"/>
        <v>0</v>
      </c>
      <c r="AR11" s="176">
        <f t="shared" si="2"/>
        <v>0</v>
      </c>
      <c r="AS11" s="176">
        <f t="shared" si="2"/>
        <v>0</v>
      </c>
      <c r="AT11" s="176">
        <f t="shared" si="2"/>
        <v>0</v>
      </c>
      <c r="AU11" s="176">
        <f t="shared" si="2"/>
        <v>0</v>
      </c>
      <c r="AV11" s="176">
        <f t="shared" si="2"/>
        <v>0</v>
      </c>
      <c r="AW11" s="345">
        <f t="shared" si="2"/>
        <v>0</v>
      </c>
    </row>
    <row r="12" spans="1:50" ht="42" customHeight="1" x14ac:dyDescent="0.15">
      <c r="A12" s="8"/>
      <c r="B12" s="6" t="s">
        <v>83</v>
      </c>
      <c r="C12" s="5"/>
      <c r="D12" s="1" t="s">
        <v>380</v>
      </c>
      <c r="E12" s="1" t="s">
        <v>428</v>
      </c>
      <c r="F12" s="29" t="s">
        <v>7</v>
      </c>
      <c r="G12" s="29" t="s">
        <v>70</v>
      </c>
      <c r="H12" s="29" t="s">
        <v>23</v>
      </c>
      <c r="I12" s="187" t="s">
        <v>71</v>
      </c>
      <c r="J12" s="298">
        <f>6*3+2*5*3</f>
        <v>48</v>
      </c>
      <c r="K12" s="29">
        <f>J12</f>
        <v>48</v>
      </c>
      <c r="L12" s="29"/>
      <c r="M12" s="295"/>
      <c r="N12" s="272"/>
      <c r="O12" s="291">
        <f>K12</f>
        <v>48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180">
        <f>SUM(O12:T12)</f>
        <v>48</v>
      </c>
      <c r="V12" s="79">
        <f>U12</f>
        <v>48</v>
      </c>
      <c r="W12" s="79">
        <v>0</v>
      </c>
      <c r="X12" s="79">
        <v>0</v>
      </c>
      <c r="Y12" s="239">
        <v>0</v>
      </c>
      <c r="AA12" s="23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f>SUM(AA12:AF12)</f>
        <v>0</v>
      </c>
      <c r="AH12" s="78">
        <v>0</v>
      </c>
      <c r="AI12" s="78">
        <v>0</v>
      </c>
      <c r="AJ12" s="78">
        <v>0</v>
      </c>
      <c r="AK12" s="240">
        <v>0</v>
      </c>
      <c r="AM12" s="281"/>
      <c r="AN12" s="79">
        <v>0</v>
      </c>
      <c r="AO12" s="79">
        <v>0</v>
      </c>
      <c r="AP12" s="79">
        <v>0</v>
      </c>
      <c r="AQ12" s="79">
        <v>0</v>
      </c>
      <c r="AR12" s="79">
        <v>0</v>
      </c>
      <c r="AS12" s="79">
        <f>SUM(AM12:AR12)</f>
        <v>0</v>
      </c>
      <c r="AT12" s="79">
        <v>0</v>
      </c>
      <c r="AU12" s="79">
        <v>0</v>
      </c>
      <c r="AV12" s="79">
        <v>0</v>
      </c>
      <c r="AW12" s="239">
        <v>0</v>
      </c>
    </row>
    <row r="13" spans="1:50" ht="46.5" customHeight="1" x14ac:dyDescent="0.15">
      <c r="A13" s="8"/>
      <c r="B13" s="7" t="s">
        <v>381</v>
      </c>
      <c r="C13" s="15"/>
      <c r="D13" s="1" t="s">
        <v>382</v>
      </c>
      <c r="E13" s="1" t="s">
        <v>428</v>
      </c>
      <c r="F13" s="29" t="s">
        <v>7</v>
      </c>
      <c r="G13" s="13" t="s">
        <v>91</v>
      </c>
      <c r="H13" s="29" t="s">
        <v>23</v>
      </c>
      <c r="I13" s="187" t="s">
        <v>71</v>
      </c>
      <c r="J13" s="298">
        <f>6*3+2*5*3</f>
        <v>48</v>
      </c>
      <c r="K13" s="29">
        <f>J13</f>
        <v>48</v>
      </c>
      <c r="L13" s="29"/>
      <c r="M13" s="295"/>
      <c r="N13" s="272"/>
      <c r="O13" s="238">
        <f>K13</f>
        <v>48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80">
        <f>SUM(O13:T13)</f>
        <v>48</v>
      </c>
      <c r="V13" s="78">
        <f>U13</f>
        <v>48</v>
      </c>
      <c r="W13" s="78">
        <v>0</v>
      </c>
      <c r="X13" s="78">
        <v>0</v>
      </c>
      <c r="Y13" s="240">
        <v>0</v>
      </c>
      <c r="AA13" s="23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f>SUM(AA13:AF13)</f>
        <v>0</v>
      </c>
      <c r="AH13" s="78">
        <v>0</v>
      </c>
      <c r="AI13" s="78">
        <v>0</v>
      </c>
      <c r="AJ13" s="78">
        <v>0</v>
      </c>
      <c r="AK13" s="240">
        <v>0</v>
      </c>
      <c r="AM13" s="238"/>
      <c r="AN13" s="81">
        <v>0</v>
      </c>
      <c r="AO13" s="81">
        <v>0</v>
      </c>
      <c r="AP13" s="81">
        <v>0</v>
      </c>
      <c r="AQ13" s="81">
        <v>0</v>
      </c>
      <c r="AR13" s="81">
        <v>0</v>
      </c>
      <c r="AS13" s="79">
        <f>SUM(AM13:AR13)</f>
        <v>0</v>
      </c>
      <c r="AT13" s="81">
        <v>0</v>
      </c>
      <c r="AU13" s="81">
        <v>0</v>
      </c>
      <c r="AV13" s="81">
        <v>0</v>
      </c>
      <c r="AW13" s="257">
        <v>0</v>
      </c>
    </row>
    <row r="14" spans="1:50" s="92" customFormat="1" ht="39.75" customHeight="1" x14ac:dyDescent="0.15">
      <c r="A14" s="138"/>
      <c r="B14" s="162" t="s">
        <v>350</v>
      </c>
      <c r="C14" s="167"/>
      <c r="D14" s="157" t="s">
        <v>435</v>
      </c>
      <c r="E14" s="167"/>
      <c r="F14" s="138"/>
      <c r="G14" s="138"/>
      <c r="H14" s="138"/>
      <c r="I14" s="270"/>
      <c r="J14" s="236">
        <f>SUM(J15:J19)</f>
        <v>976</v>
      </c>
      <c r="K14" s="45">
        <f t="shared" ref="K14:AW14" si="3">SUM(K15:K19)</f>
        <v>311</v>
      </c>
      <c r="L14" s="45">
        <f t="shared" si="3"/>
        <v>665</v>
      </c>
      <c r="M14" s="237">
        <f t="shared" si="3"/>
        <v>0</v>
      </c>
      <c r="N14" s="272"/>
      <c r="O14" s="236">
        <f t="shared" si="3"/>
        <v>155.5</v>
      </c>
      <c r="P14" s="45">
        <f t="shared" si="3"/>
        <v>0</v>
      </c>
      <c r="Q14" s="45">
        <f t="shared" si="3"/>
        <v>545</v>
      </c>
      <c r="R14" s="45">
        <f t="shared" si="3"/>
        <v>0</v>
      </c>
      <c r="S14" s="45">
        <f t="shared" si="3"/>
        <v>0</v>
      </c>
      <c r="T14" s="45">
        <f t="shared" si="3"/>
        <v>0</v>
      </c>
      <c r="U14" s="45">
        <f>SUM(U15:U19)</f>
        <v>700.5</v>
      </c>
      <c r="V14" s="45">
        <f>SUM(V15:V19)</f>
        <v>155.5</v>
      </c>
      <c r="W14" s="45">
        <f>SUM(W15:W19)</f>
        <v>0</v>
      </c>
      <c r="X14" s="45">
        <f t="shared" si="3"/>
        <v>545</v>
      </c>
      <c r="Y14" s="237">
        <f t="shared" si="3"/>
        <v>0</v>
      </c>
      <c r="Z14" s="229"/>
      <c r="AA14" s="236">
        <f t="shared" si="3"/>
        <v>155.5</v>
      </c>
      <c r="AB14" s="45">
        <f t="shared" si="3"/>
        <v>0</v>
      </c>
      <c r="AC14" s="45">
        <f t="shared" si="3"/>
        <v>120</v>
      </c>
      <c r="AD14" s="45">
        <f t="shared" si="3"/>
        <v>0</v>
      </c>
      <c r="AE14" s="45">
        <f t="shared" si="3"/>
        <v>0</v>
      </c>
      <c r="AF14" s="45">
        <f t="shared" si="3"/>
        <v>0</v>
      </c>
      <c r="AG14" s="45">
        <f t="shared" si="3"/>
        <v>275.5</v>
      </c>
      <c r="AH14" s="45">
        <f t="shared" si="3"/>
        <v>155.5</v>
      </c>
      <c r="AI14" s="45">
        <f t="shared" si="3"/>
        <v>0</v>
      </c>
      <c r="AJ14" s="45">
        <f t="shared" si="3"/>
        <v>120</v>
      </c>
      <c r="AK14" s="237">
        <f t="shared" si="3"/>
        <v>0</v>
      </c>
      <c r="AL14" s="229"/>
      <c r="AM14" s="236">
        <f t="shared" si="3"/>
        <v>0</v>
      </c>
      <c r="AN14" s="45">
        <f t="shared" si="3"/>
        <v>0</v>
      </c>
      <c r="AO14" s="45">
        <f t="shared" si="3"/>
        <v>0</v>
      </c>
      <c r="AP14" s="45">
        <f t="shared" si="3"/>
        <v>0</v>
      </c>
      <c r="AQ14" s="45">
        <f t="shared" si="3"/>
        <v>0</v>
      </c>
      <c r="AR14" s="45">
        <f t="shared" si="3"/>
        <v>0</v>
      </c>
      <c r="AS14" s="45">
        <f t="shared" si="3"/>
        <v>0</v>
      </c>
      <c r="AT14" s="45">
        <f t="shared" si="3"/>
        <v>0</v>
      </c>
      <c r="AU14" s="45">
        <f t="shared" si="3"/>
        <v>0</v>
      </c>
      <c r="AV14" s="45">
        <f t="shared" si="3"/>
        <v>0</v>
      </c>
      <c r="AW14" s="45">
        <f t="shared" si="3"/>
        <v>0</v>
      </c>
    </row>
    <row r="15" spans="1:50" s="94" customFormat="1" ht="65.25" customHeight="1" x14ac:dyDescent="0.15">
      <c r="A15" s="10"/>
      <c r="B15" s="1" t="s">
        <v>383</v>
      </c>
      <c r="C15" s="1"/>
      <c r="D15" s="1" t="s">
        <v>304</v>
      </c>
      <c r="E15" s="29" t="s">
        <v>443</v>
      </c>
      <c r="F15" s="29" t="s">
        <v>7</v>
      </c>
      <c r="G15" s="29" t="s">
        <v>90</v>
      </c>
      <c r="H15" s="29" t="s">
        <v>23</v>
      </c>
      <c r="I15" s="187" t="s">
        <v>10</v>
      </c>
      <c r="J15" s="265">
        <f>1*5*13</f>
        <v>65</v>
      </c>
      <c r="K15" s="29"/>
      <c r="L15" s="103">
        <f>J15</f>
        <v>65</v>
      </c>
      <c r="M15" s="262"/>
      <c r="N15" s="272"/>
      <c r="O15" s="245"/>
      <c r="P15" s="81"/>
      <c r="Q15" s="83">
        <f>J15</f>
        <v>65</v>
      </c>
      <c r="R15" s="81"/>
      <c r="S15" s="81"/>
      <c r="T15" s="81"/>
      <c r="U15" s="83">
        <f>SUM(O15:T15)</f>
        <v>65</v>
      </c>
      <c r="V15" s="81"/>
      <c r="W15" s="81"/>
      <c r="X15" s="103">
        <f>L15</f>
        <v>65</v>
      </c>
      <c r="Y15" s="257"/>
      <c r="Z15" s="74"/>
      <c r="AA15" s="243"/>
      <c r="AB15" s="82"/>
      <c r="AC15" s="82"/>
      <c r="AD15" s="82"/>
      <c r="AE15" s="82"/>
      <c r="AF15" s="82"/>
      <c r="AG15" s="82">
        <f>SUM(AA15:AF15)</f>
        <v>0</v>
      </c>
      <c r="AH15" s="81"/>
      <c r="AI15" s="81"/>
      <c r="AJ15" s="81"/>
      <c r="AK15" s="244"/>
      <c r="AL15" s="74"/>
      <c r="AM15" s="243"/>
      <c r="AN15" s="82"/>
      <c r="AO15" s="82"/>
      <c r="AP15" s="82"/>
      <c r="AQ15" s="82"/>
      <c r="AR15" s="82"/>
      <c r="AS15" s="82">
        <f>SUM(AM15:AR15)</f>
        <v>0</v>
      </c>
      <c r="AT15" s="82"/>
      <c r="AU15" s="81"/>
      <c r="AV15" s="81"/>
      <c r="AW15" s="244"/>
    </row>
    <row r="16" spans="1:50" ht="48" customHeight="1" x14ac:dyDescent="0.15">
      <c r="A16" s="29"/>
      <c r="B16" s="1" t="s">
        <v>204</v>
      </c>
      <c r="C16" s="1"/>
      <c r="D16" s="17" t="s">
        <v>203</v>
      </c>
      <c r="E16" s="17" t="s">
        <v>202</v>
      </c>
      <c r="F16" s="29" t="s">
        <v>7</v>
      </c>
      <c r="G16" s="13" t="s">
        <v>91</v>
      </c>
      <c r="H16" s="13" t="s">
        <v>23</v>
      </c>
      <c r="I16" s="189" t="s">
        <v>10</v>
      </c>
      <c r="J16" s="296">
        <f>1*5*13+1*10*5.5</f>
        <v>120</v>
      </c>
      <c r="K16" s="40"/>
      <c r="L16" s="40">
        <f>J16</f>
        <v>120</v>
      </c>
      <c r="M16" s="297"/>
      <c r="N16" s="272"/>
      <c r="O16" s="238"/>
      <c r="P16" s="78"/>
      <c r="Q16" s="78">
        <f>J16</f>
        <v>120</v>
      </c>
      <c r="R16" s="78"/>
      <c r="S16" s="78"/>
      <c r="T16" s="78"/>
      <c r="U16" s="83">
        <f>SUM(O16:T16)</f>
        <v>120</v>
      </c>
      <c r="V16" s="78"/>
      <c r="W16" s="78"/>
      <c r="X16" s="78">
        <f>L16</f>
        <v>120</v>
      </c>
      <c r="Y16" s="240"/>
      <c r="AA16" s="238">
        <v>0</v>
      </c>
      <c r="AB16" s="78">
        <v>0</v>
      </c>
      <c r="AC16" s="78"/>
      <c r="AD16" s="78">
        <v>0</v>
      </c>
      <c r="AE16" s="78">
        <v>0</v>
      </c>
      <c r="AF16" s="78">
        <v>0</v>
      </c>
      <c r="AG16" s="82">
        <f>SUM(AA16:AF16)</f>
        <v>0</v>
      </c>
      <c r="AH16" s="78">
        <v>0</v>
      </c>
      <c r="AI16" s="78">
        <v>0</v>
      </c>
      <c r="AJ16" s="78">
        <v>0</v>
      </c>
      <c r="AK16" s="240">
        <v>0</v>
      </c>
      <c r="AM16" s="23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82">
        <f>SUM(AM16:AR16)</f>
        <v>0</v>
      </c>
      <c r="AT16" s="78">
        <v>0</v>
      </c>
      <c r="AU16" s="78">
        <v>0</v>
      </c>
      <c r="AV16" s="78">
        <v>0</v>
      </c>
      <c r="AW16" s="240">
        <v>0</v>
      </c>
    </row>
    <row r="17" spans="1:49" ht="53.25" customHeight="1" x14ac:dyDescent="0.15">
      <c r="A17" s="8"/>
      <c r="B17" s="7" t="s">
        <v>260</v>
      </c>
      <c r="C17" s="1"/>
      <c r="D17" s="17" t="s">
        <v>13</v>
      </c>
      <c r="E17" s="29" t="s">
        <v>443</v>
      </c>
      <c r="F17" s="29" t="s">
        <v>7</v>
      </c>
      <c r="G17" s="13" t="s">
        <v>92</v>
      </c>
      <c r="H17" s="13" t="s">
        <v>23</v>
      </c>
      <c r="I17" s="189" t="s">
        <v>10</v>
      </c>
      <c r="J17" s="296">
        <f>5*13</f>
        <v>65</v>
      </c>
      <c r="K17" s="40"/>
      <c r="L17" s="40">
        <f>J17</f>
        <v>65</v>
      </c>
      <c r="M17" s="297"/>
      <c r="N17" s="272"/>
      <c r="O17" s="238"/>
      <c r="P17" s="78"/>
      <c r="Q17" s="78">
        <f>L17</f>
        <v>65</v>
      </c>
      <c r="R17" s="78"/>
      <c r="S17" s="78"/>
      <c r="T17" s="78"/>
      <c r="U17" s="83">
        <f>SUM(O17:T17)</f>
        <v>65</v>
      </c>
      <c r="V17" s="78"/>
      <c r="W17" s="78"/>
      <c r="X17" s="78">
        <v>65</v>
      </c>
      <c r="Y17" s="240"/>
      <c r="AA17" s="238"/>
      <c r="AB17" s="78"/>
      <c r="AC17" s="78"/>
      <c r="AD17" s="78"/>
      <c r="AE17" s="78"/>
      <c r="AF17" s="78"/>
      <c r="AG17" s="82">
        <f>SUM(AA17:AF17)</f>
        <v>0</v>
      </c>
      <c r="AH17" s="78"/>
      <c r="AI17" s="78"/>
      <c r="AJ17" s="78"/>
      <c r="AK17" s="240"/>
      <c r="AM17" s="238"/>
      <c r="AN17" s="78"/>
      <c r="AO17" s="78"/>
      <c r="AP17" s="78"/>
      <c r="AQ17" s="78"/>
      <c r="AR17" s="78"/>
      <c r="AS17" s="82">
        <f>SUM(AM17:AR17)</f>
        <v>0</v>
      </c>
      <c r="AT17" s="78"/>
      <c r="AU17" s="78"/>
      <c r="AV17" s="78"/>
      <c r="AW17" s="240"/>
    </row>
    <row r="18" spans="1:49" ht="59.25" customHeight="1" x14ac:dyDescent="0.15">
      <c r="A18" s="8"/>
      <c r="B18" s="12" t="s">
        <v>205</v>
      </c>
      <c r="C18" s="15"/>
      <c r="D18" s="12" t="s">
        <v>19</v>
      </c>
      <c r="E18" s="17" t="s">
        <v>206</v>
      </c>
      <c r="F18" s="29" t="s">
        <v>7</v>
      </c>
      <c r="G18" s="18" t="s">
        <v>93</v>
      </c>
      <c r="H18" s="29" t="s">
        <v>23</v>
      </c>
      <c r="I18" s="187" t="s">
        <v>14</v>
      </c>
      <c r="J18" s="296">
        <f>1*5*13+1*20*5.5</f>
        <v>175</v>
      </c>
      <c r="K18" s="40"/>
      <c r="L18" s="40">
        <f>J18</f>
        <v>175</v>
      </c>
      <c r="M18" s="297"/>
      <c r="N18" s="272"/>
      <c r="O18" s="238"/>
      <c r="P18" s="78"/>
      <c r="Q18" s="78">
        <f>J18</f>
        <v>175</v>
      </c>
      <c r="R18" s="78"/>
      <c r="S18" s="78"/>
      <c r="T18" s="78"/>
      <c r="U18" s="83">
        <f>SUM(O18:T18)</f>
        <v>175</v>
      </c>
      <c r="V18" s="78"/>
      <c r="W18" s="78"/>
      <c r="X18" s="78">
        <f>L18</f>
        <v>175</v>
      </c>
      <c r="Y18" s="240"/>
      <c r="AA18" s="238"/>
      <c r="AB18" s="78"/>
      <c r="AC18" s="78"/>
      <c r="AD18" s="78"/>
      <c r="AE18" s="78"/>
      <c r="AF18" s="78"/>
      <c r="AG18" s="82">
        <f>SUM(AA18:AF18)</f>
        <v>0</v>
      </c>
      <c r="AH18" s="78"/>
      <c r="AI18" s="78"/>
      <c r="AJ18" s="78"/>
      <c r="AK18" s="240"/>
      <c r="AM18" s="238"/>
      <c r="AN18" s="78"/>
      <c r="AO18" s="93"/>
      <c r="AP18" s="78"/>
      <c r="AQ18" s="78"/>
      <c r="AR18" s="78"/>
      <c r="AS18" s="82">
        <f>SUM(AM18:AR18)</f>
        <v>0</v>
      </c>
      <c r="AT18" s="78"/>
      <c r="AU18" s="78"/>
      <c r="AV18" s="78"/>
      <c r="AW18" s="240"/>
    </row>
    <row r="19" spans="1:49" s="94" customFormat="1" ht="100.5" customHeight="1" x14ac:dyDescent="0.15">
      <c r="A19" s="29"/>
      <c r="B19" s="12" t="s">
        <v>429</v>
      </c>
      <c r="C19" s="1"/>
      <c r="D19" s="1" t="s">
        <v>430</v>
      </c>
      <c r="E19" s="1" t="s">
        <v>261</v>
      </c>
      <c r="F19" s="29" t="s">
        <v>7</v>
      </c>
      <c r="G19" s="18" t="s">
        <v>93</v>
      </c>
      <c r="H19" s="29" t="s">
        <v>14</v>
      </c>
      <c r="I19" s="187" t="s">
        <v>105</v>
      </c>
      <c r="J19" s="296">
        <f>2*10*12+119+2*96</f>
        <v>551</v>
      </c>
      <c r="K19" s="40">
        <f>119+2*96</f>
        <v>311</v>
      </c>
      <c r="L19" s="40">
        <f>J19-K19</f>
        <v>240</v>
      </c>
      <c r="M19" s="297"/>
      <c r="N19" s="272"/>
      <c r="O19" s="238">
        <f>K19/2</f>
        <v>155.5</v>
      </c>
      <c r="P19" s="78"/>
      <c r="Q19" s="78">
        <f>L19/2</f>
        <v>120</v>
      </c>
      <c r="R19" s="78"/>
      <c r="S19" s="78"/>
      <c r="T19" s="78"/>
      <c r="U19" s="83">
        <f>SUM(O19:T19)</f>
        <v>275.5</v>
      </c>
      <c r="V19" s="78">
        <f>O19</f>
        <v>155.5</v>
      </c>
      <c r="W19" s="78"/>
      <c r="X19" s="78">
        <f>Q19</f>
        <v>120</v>
      </c>
      <c r="Y19" s="240"/>
      <c r="Z19" s="74"/>
      <c r="AA19" s="282">
        <f>O19</f>
        <v>155.5</v>
      </c>
      <c r="AB19" s="38"/>
      <c r="AC19" s="38">
        <f>Q19</f>
        <v>120</v>
      </c>
      <c r="AD19" s="38"/>
      <c r="AE19" s="38"/>
      <c r="AF19" s="38"/>
      <c r="AG19" s="82">
        <f>SUM(AA19:AF19)</f>
        <v>275.5</v>
      </c>
      <c r="AH19" s="38">
        <f>AA19</f>
        <v>155.5</v>
      </c>
      <c r="AI19" s="38"/>
      <c r="AJ19" s="38">
        <f>AC19</f>
        <v>120</v>
      </c>
      <c r="AK19" s="283"/>
      <c r="AL19" s="74"/>
      <c r="AM19" s="282"/>
      <c r="AN19" s="38"/>
      <c r="AO19" s="38"/>
      <c r="AP19" s="38"/>
      <c r="AQ19" s="38"/>
      <c r="AR19" s="38"/>
      <c r="AS19" s="82">
        <f>SUM(AM19:AR19)</f>
        <v>0</v>
      </c>
      <c r="AT19" s="38"/>
      <c r="AU19" s="38"/>
      <c r="AV19" s="38"/>
      <c r="AW19" s="283"/>
    </row>
    <row r="20" spans="1:49" s="92" customFormat="1" ht="43.5" customHeight="1" x14ac:dyDescent="0.15">
      <c r="A20" s="138"/>
      <c r="B20" s="162" t="s">
        <v>349</v>
      </c>
      <c r="C20" s="167"/>
      <c r="D20" s="157" t="s">
        <v>436</v>
      </c>
      <c r="E20" s="167"/>
      <c r="F20" s="138"/>
      <c r="G20" s="169"/>
      <c r="H20" s="138"/>
      <c r="I20" s="270"/>
      <c r="J20" s="284">
        <f>SUM(J21:J28)</f>
        <v>4447</v>
      </c>
      <c r="K20" s="168">
        <f t="shared" ref="K20:AW20" si="4">SUM(K21:K28)</f>
        <v>1252</v>
      </c>
      <c r="L20" s="168">
        <f t="shared" si="4"/>
        <v>3195</v>
      </c>
      <c r="M20" s="285">
        <f t="shared" si="4"/>
        <v>0</v>
      </c>
      <c r="N20" s="272"/>
      <c r="O20" s="284">
        <f t="shared" si="4"/>
        <v>1132</v>
      </c>
      <c r="P20" s="168">
        <f t="shared" si="4"/>
        <v>160</v>
      </c>
      <c r="Q20" s="168">
        <f t="shared" si="4"/>
        <v>2733</v>
      </c>
      <c r="R20" s="168">
        <f t="shared" si="4"/>
        <v>0</v>
      </c>
      <c r="S20" s="168">
        <f t="shared" si="4"/>
        <v>0</v>
      </c>
      <c r="T20" s="168">
        <f t="shared" si="4"/>
        <v>0</v>
      </c>
      <c r="U20" s="168">
        <f t="shared" si="4"/>
        <v>4025</v>
      </c>
      <c r="V20" s="168">
        <f t="shared" si="4"/>
        <v>1172</v>
      </c>
      <c r="W20" s="168">
        <f t="shared" si="4"/>
        <v>0</v>
      </c>
      <c r="X20" s="168">
        <f t="shared" si="4"/>
        <v>2853</v>
      </c>
      <c r="Y20" s="285">
        <f t="shared" si="4"/>
        <v>0</v>
      </c>
      <c r="Z20" s="274"/>
      <c r="AA20" s="284">
        <f t="shared" si="4"/>
        <v>80</v>
      </c>
      <c r="AB20" s="168">
        <f t="shared" si="4"/>
        <v>30</v>
      </c>
      <c r="AC20" s="168">
        <f t="shared" si="4"/>
        <v>312</v>
      </c>
      <c r="AD20" s="168">
        <f t="shared" si="4"/>
        <v>0</v>
      </c>
      <c r="AE20" s="168">
        <f t="shared" si="4"/>
        <v>0</v>
      </c>
      <c r="AF20" s="168">
        <f t="shared" si="4"/>
        <v>0</v>
      </c>
      <c r="AG20" s="168">
        <f t="shared" si="4"/>
        <v>422</v>
      </c>
      <c r="AH20" s="168">
        <f t="shared" si="4"/>
        <v>80</v>
      </c>
      <c r="AI20" s="168">
        <f t="shared" si="4"/>
        <v>0</v>
      </c>
      <c r="AJ20" s="168">
        <f t="shared" si="4"/>
        <v>342</v>
      </c>
      <c r="AK20" s="285">
        <f t="shared" si="4"/>
        <v>0</v>
      </c>
      <c r="AL20" s="274"/>
      <c r="AM20" s="284">
        <f t="shared" si="4"/>
        <v>0</v>
      </c>
      <c r="AN20" s="168">
        <f t="shared" si="4"/>
        <v>0</v>
      </c>
      <c r="AO20" s="168">
        <f t="shared" si="4"/>
        <v>0</v>
      </c>
      <c r="AP20" s="168">
        <f t="shared" si="4"/>
        <v>0</v>
      </c>
      <c r="AQ20" s="168">
        <f t="shared" si="4"/>
        <v>0</v>
      </c>
      <c r="AR20" s="168">
        <f t="shared" si="4"/>
        <v>0</v>
      </c>
      <c r="AS20" s="168">
        <f t="shared" si="4"/>
        <v>0</v>
      </c>
      <c r="AT20" s="168">
        <f t="shared" si="4"/>
        <v>0</v>
      </c>
      <c r="AU20" s="168">
        <f t="shared" si="4"/>
        <v>0</v>
      </c>
      <c r="AV20" s="168">
        <f t="shared" si="4"/>
        <v>0</v>
      </c>
      <c r="AW20" s="168">
        <f t="shared" si="4"/>
        <v>0</v>
      </c>
    </row>
    <row r="21" spans="1:49" ht="117" customHeight="1" x14ac:dyDescent="0.15">
      <c r="A21" s="8"/>
      <c r="B21" s="12" t="s">
        <v>217</v>
      </c>
      <c r="C21" s="1"/>
      <c r="D21" s="7" t="s">
        <v>15</v>
      </c>
      <c r="E21" s="32" t="s">
        <v>207</v>
      </c>
      <c r="F21" s="29" t="s">
        <v>7</v>
      </c>
      <c r="G21" s="19" t="s">
        <v>20</v>
      </c>
      <c r="H21" s="29" t="s">
        <v>26</v>
      </c>
      <c r="I21" s="187" t="s">
        <v>10</v>
      </c>
      <c r="J21" s="296">
        <f>1*2*160+1*2*118+3*2*96+40</f>
        <v>1172</v>
      </c>
      <c r="K21" s="29">
        <f>J21</f>
        <v>1172</v>
      </c>
      <c r="L21" s="29"/>
      <c r="M21" s="295"/>
      <c r="N21" s="272"/>
      <c r="O21" s="238">
        <f>J21-40</f>
        <v>1132</v>
      </c>
      <c r="P21" s="78">
        <v>40</v>
      </c>
      <c r="Q21" s="81"/>
      <c r="R21" s="81"/>
      <c r="S21" s="81"/>
      <c r="T21" s="82"/>
      <c r="U21" s="180">
        <f>SUM(O21:T21)</f>
        <v>1172</v>
      </c>
      <c r="V21" s="82">
        <f>U21</f>
        <v>1172</v>
      </c>
      <c r="W21" s="81"/>
      <c r="X21" s="81"/>
      <c r="Y21" s="244"/>
      <c r="AA21" s="243"/>
      <c r="AB21" s="78"/>
      <c r="AC21" s="81"/>
      <c r="AD21" s="81"/>
      <c r="AE21" s="81"/>
      <c r="AF21" s="81"/>
      <c r="AG21" s="82">
        <f>SUM(AA21:AF21)</f>
        <v>0</v>
      </c>
      <c r="AH21" s="82"/>
      <c r="AI21" s="81"/>
      <c r="AJ21" s="81"/>
      <c r="AK21" s="244"/>
      <c r="AM21" s="243"/>
      <c r="AN21" s="78"/>
      <c r="AO21" s="81"/>
      <c r="AP21" s="81"/>
      <c r="AQ21" s="81"/>
      <c r="AR21" s="81"/>
      <c r="AS21" s="82">
        <f>SUM(AM21:AR21)</f>
        <v>0</v>
      </c>
      <c r="AT21" s="82"/>
      <c r="AU21" s="81"/>
      <c r="AV21" s="81"/>
      <c r="AW21" s="244"/>
    </row>
    <row r="22" spans="1:49" ht="103.5" customHeight="1" x14ac:dyDescent="0.15">
      <c r="A22" s="8"/>
      <c r="B22" s="41" t="s">
        <v>218</v>
      </c>
      <c r="C22" s="1"/>
      <c r="D22" s="12" t="s">
        <v>17</v>
      </c>
      <c r="E22" s="1" t="s">
        <v>201</v>
      </c>
      <c r="F22" s="29" t="s">
        <v>7</v>
      </c>
      <c r="G22" s="18" t="s">
        <v>22</v>
      </c>
      <c r="H22" s="29" t="s">
        <v>26</v>
      </c>
      <c r="I22" s="187" t="s">
        <v>10</v>
      </c>
      <c r="J22" s="298">
        <f>3*15*12+30</f>
        <v>570</v>
      </c>
      <c r="K22" s="29"/>
      <c r="L22" s="29">
        <f>J22</f>
        <v>570</v>
      </c>
      <c r="M22" s="295"/>
      <c r="N22" s="272"/>
      <c r="O22" s="238"/>
      <c r="P22" s="78">
        <v>30</v>
      </c>
      <c r="Q22" s="78">
        <f>L22-P22</f>
        <v>540</v>
      </c>
      <c r="R22" s="78"/>
      <c r="S22" s="78"/>
      <c r="T22" s="78"/>
      <c r="U22" s="180">
        <f t="shared" ref="U22:U28" si="5">SUM(O22:T22)</f>
        <v>570</v>
      </c>
      <c r="V22" s="78"/>
      <c r="W22" s="78"/>
      <c r="X22" s="78">
        <f>L22</f>
        <v>570</v>
      </c>
      <c r="Y22" s="240"/>
      <c r="AA22" s="286">
        <v>0</v>
      </c>
      <c r="AB22" s="55">
        <v>0</v>
      </c>
      <c r="AC22" s="55">
        <v>0</v>
      </c>
      <c r="AD22" s="55">
        <v>0</v>
      </c>
      <c r="AE22" s="55">
        <f>'Politika 4'!AE20+AE23</f>
        <v>0</v>
      </c>
      <c r="AF22" s="55">
        <f>'Politika 4'!AF20+AF23</f>
        <v>0</v>
      </c>
      <c r="AG22" s="82">
        <f t="shared" ref="AG22:AG28" si="6">SUM(AA22:AF22)</f>
        <v>0</v>
      </c>
      <c r="AH22" s="55">
        <v>0</v>
      </c>
      <c r="AI22" s="55">
        <f>'Politika 4'!AI20+AI23</f>
        <v>0</v>
      </c>
      <c r="AJ22" s="55"/>
      <c r="AK22" s="287">
        <v>0</v>
      </c>
      <c r="AM22" s="286">
        <v>0</v>
      </c>
      <c r="AN22" s="55">
        <v>0</v>
      </c>
      <c r="AO22" s="55">
        <f>'Politika 4'!AO20+AO23</f>
        <v>0</v>
      </c>
      <c r="AP22" s="55">
        <f>'Politika 4'!AP20+AP23</f>
        <v>0</v>
      </c>
      <c r="AQ22" s="55">
        <f>'Politika 4'!AQ20+AQ23</f>
        <v>0</v>
      </c>
      <c r="AR22" s="55">
        <f>'Politika 4'!AR20+AR23</f>
        <v>0</v>
      </c>
      <c r="AS22" s="82">
        <f t="shared" ref="AS22:AS28" si="7">SUM(AM22:AR22)</f>
        <v>0</v>
      </c>
      <c r="AT22" s="55">
        <v>0</v>
      </c>
      <c r="AU22" s="55">
        <f>'Politika 4'!AU20+AU23</f>
        <v>0</v>
      </c>
      <c r="AV22" s="55">
        <f>'Politika 4'!AV20+AV23</f>
        <v>0</v>
      </c>
      <c r="AW22" s="287"/>
    </row>
    <row r="23" spans="1:49" ht="96.75" customHeight="1" x14ac:dyDescent="0.15">
      <c r="A23" s="8"/>
      <c r="B23" s="41" t="s">
        <v>219</v>
      </c>
      <c r="C23" s="1"/>
      <c r="D23" s="7" t="s">
        <v>220</v>
      </c>
      <c r="E23" s="1" t="s">
        <v>262</v>
      </c>
      <c r="F23" s="29" t="s">
        <v>7</v>
      </c>
      <c r="G23" s="19" t="s">
        <v>72</v>
      </c>
      <c r="H23" s="29" t="s">
        <v>23</v>
      </c>
      <c r="I23" s="187" t="s">
        <v>109</v>
      </c>
      <c r="J23" s="298">
        <f>2*10*12+30</f>
        <v>270</v>
      </c>
      <c r="K23" s="29">
        <v>0</v>
      </c>
      <c r="L23" s="29">
        <f>J23</f>
        <v>270</v>
      </c>
      <c r="M23" s="295"/>
      <c r="N23" s="272"/>
      <c r="O23" s="238"/>
      <c r="P23" s="78">
        <v>15</v>
      </c>
      <c r="Q23" s="78">
        <f>10*12</f>
        <v>120</v>
      </c>
      <c r="R23" s="78"/>
      <c r="S23" s="78"/>
      <c r="T23" s="78"/>
      <c r="U23" s="180">
        <f t="shared" si="5"/>
        <v>135</v>
      </c>
      <c r="V23" s="78"/>
      <c r="W23" s="78"/>
      <c r="X23" s="78">
        <f>U23</f>
        <v>135</v>
      </c>
      <c r="Y23" s="240"/>
      <c r="AA23" s="238">
        <f>O23</f>
        <v>0</v>
      </c>
      <c r="AB23" s="78">
        <v>15</v>
      </c>
      <c r="AC23" s="78">
        <f>10*12</f>
        <v>120</v>
      </c>
      <c r="AD23" s="78"/>
      <c r="AE23" s="78"/>
      <c r="AF23" s="78"/>
      <c r="AG23" s="82">
        <f t="shared" si="6"/>
        <v>135</v>
      </c>
      <c r="AH23" s="78"/>
      <c r="AI23" s="78"/>
      <c r="AJ23" s="78">
        <f>AG23</f>
        <v>135</v>
      </c>
      <c r="AK23" s="240"/>
      <c r="AM23" s="238">
        <f>AA23</f>
        <v>0</v>
      </c>
      <c r="AN23" s="78"/>
      <c r="AO23" s="78"/>
      <c r="AP23" s="78"/>
      <c r="AQ23" s="78"/>
      <c r="AR23" s="78"/>
      <c r="AS23" s="82"/>
      <c r="AT23" s="78"/>
      <c r="AU23" s="78"/>
      <c r="AV23" s="78"/>
      <c r="AW23" s="240"/>
    </row>
    <row r="24" spans="1:49" s="94" customFormat="1" ht="52.5" customHeight="1" x14ac:dyDescent="0.15">
      <c r="A24" s="8"/>
      <c r="B24" s="41" t="s">
        <v>221</v>
      </c>
      <c r="C24" s="1"/>
      <c r="D24" s="12" t="s">
        <v>305</v>
      </c>
      <c r="E24" s="1" t="s">
        <v>263</v>
      </c>
      <c r="F24" s="29" t="s">
        <v>7</v>
      </c>
      <c r="G24" s="19" t="s">
        <v>306</v>
      </c>
      <c r="H24" s="29" t="s">
        <v>25</v>
      </c>
      <c r="I24" s="187" t="s">
        <v>109</v>
      </c>
      <c r="J24" s="298">
        <f>2*15*12+30</f>
        <v>390</v>
      </c>
      <c r="K24" s="29"/>
      <c r="L24" s="29">
        <f>J24</f>
        <v>390</v>
      </c>
      <c r="M24" s="295"/>
      <c r="N24" s="272"/>
      <c r="O24" s="238"/>
      <c r="P24" s="78">
        <f>15</f>
        <v>15</v>
      </c>
      <c r="Q24" s="78">
        <f>2*7*12</f>
        <v>168</v>
      </c>
      <c r="R24" s="78"/>
      <c r="S24" s="78"/>
      <c r="T24" s="78"/>
      <c r="U24" s="141">
        <f t="shared" si="5"/>
        <v>183</v>
      </c>
      <c r="V24" s="78"/>
      <c r="W24" s="78"/>
      <c r="X24" s="78">
        <f>U24</f>
        <v>183</v>
      </c>
      <c r="Y24" s="240"/>
      <c r="Z24" s="74"/>
      <c r="AA24" s="238"/>
      <c r="AB24" s="78">
        <f>15</f>
        <v>15</v>
      </c>
      <c r="AC24" s="78">
        <f>2*8*12</f>
        <v>192</v>
      </c>
      <c r="AD24" s="78"/>
      <c r="AE24" s="78"/>
      <c r="AF24" s="78"/>
      <c r="AG24" s="82">
        <f t="shared" si="6"/>
        <v>207</v>
      </c>
      <c r="AH24" s="78"/>
      <c r="AI24" s="78"/>
      <c r="AJ24" s="78">
        <f>AG24</f>
        <v>207</v>
      </c>
      <c r="AK24" s="240"/>
      <c r="AL24" s="74"/>
      <c r="AM24" s="238"/>
      <c r="AN24" s="78"/>
      <c r="AO24" s="78"/>
      <c r="AP24" s="78"/>
      <c r="AQ24" s="78"/>
      <c r="AR24" s="78"/>
      <c r="AS24" s="82">
        <f t="shared" si="7"/>
        <v>0</v>
      </c>
      <c r="AT24" s="78"/>
      <c r="AU24" s="78"/>
      <c r="AV24" s="78"/>
      <c r="AW24" s="240"/>
    </row>
    <row r="25" spans="1:49" ht="87" customHeight="1" x14ac:dyDescent="0.15">
      <c r="A25" s="8"/>
      <c r="B25" s="7" t="s">
        <v>347</v>
      </c>
      <c r="C25" s="95"/>
      <c r="D25" s="7" t="s">
        <v>24</v>
      </c>
      <c r="E25" s="29" t="s">
        <v>389</v>
      </c>
      <c r="F25" s="29" t="s">
        <v>7</v>
      </c>
      <c r="G25" s="29" t="s">
        <v>94</v>
      </c>
      <c r="H25" s="29" t="s">
        <v>26</v>
      </c>
      <c r="I25" s="187" t="s">
        <v>10</v>
      </c>
      <c r="J25" s="298">
        <f>1*15*13</f>
        <v>195</v>
      </c>
      <c r="K25" s="29"/>
      <c r="L25" s="29">
        <f>J25</f>
        <v>195</v>
      </c>
      <c r="M25" s="295"/>
      <c r="N25" s="272"/>
      <c r="O25" s="245"/>
      <c r="P25" s="81"/>
      <c r="Q25" s="97">
        <f>L25</f>
        <v>195</v>
      </c>
      <c r="R25" s="81"/>
      <c r="S25" s="81"/>
      <c r="T25" s="81"/>
      <c r="U25" s="180">
        <f t="shared" si="5"/>
        <v>195</v>
      </c>
      <c r="V25" s="81"/>
      <c r="W25" s="81"/>
      <c r="X25" s="81">
        <f>L25</f>
        <v>195</v>
      </c>
      <c r="Y25" s="257"/>
      <c r="AA25" s="245"/>
      <c r="AB25" s="81"/>
      <c r="AC25" s="81"/>
      <c r="AD25" s="81"/>
      <c r="AE25" s="81"/>
      <c r="AF25" s="81"/>
      <c r="AG25" s="82">
        <f t="shared" si="6"/>
        <v>0</v>
      </c>
      <c r="AH25" s="81"/>
      <c r="AI25" s="81"/>
      <c r="AJ25" s="81"/>
      <c r="AK25" s="257"/>
      <c r="AM25" s="245"/>
      <c r="AN25" s="81"/>
      <c r="AO25" s="81"/>
      <c r="AP25" s="81"/>
      <c r="AQ25" s="81"/>
      <c r="AR25" s="81"/>
      <c r="AS25" s="82">
        <f t="shared" si="7"/>
        <v>0</v>
      </c>
      <c r="AT25" s="81"/>
      <c r="AU25" s="81"/>
      <c r="AV25" s="81"/>
      <c r="AW25" s="257"/>
    </row>
    <row r="26" spans="1:49" ht="78.75" customHeight="1" x14ac:dyDescent="0.15">
      <c r="A26" s="8"/>
      <c r="B26" s="7" t="s">
        <v>431</v>
      </c>
      <c r="C26" s="95"/>
      <c r="D26" s="7" t="s">
        <v>58</v>
      </c>
      <c r="E26" s="1" t="s">
        <v>263</v>
      </c>
      <c r="F26" s="29" t="s">
        <v>7</v>
      </c>
      <c r="G26" s="29" t="s">
        <v>208</v>
      </c>
      <c r="H26" s="29" t="s">
        <v>26</v>
      </c>
      <c r="I26" s="187" t="s">
        <v>23</v>
      </c>
      <c r="J26" s="298">
        <f>2*15*12+30</f>
        <v>390</v>
      </c>
      <c r="K26" s="29"/>
      <c r="L26" s="29">
        <f>J26</f>
        <v>390</v>
      </c>
      <c r="M26" s="295"/>
      <c r="N26" s="272"/>
      <c r="O26" s="245"/>
      <c r="P26" s="81">
        <v>30</v>
      </c>
      <c r="Q26" s="81">
        <f>L26-P26</f>
        <v>360</v>
      </c>
      <c r="R26" s="81"/>
      <c r="S26" s="81"/>
      <c r="T26" s="81"/>
      <c r="U26" s="180">
        <f t="shared" si="5"/>
        <v>390</v>
      </c>
      <c r="V26" s="81"/>
      <c r="W26" s="81"/>
      <c r="X26" s="81">
        <v>390</v>
      </c>
      <c r="Y26" s="257"/>
      <c r="AA26" s="245"/>
      <c r="AB26" s="81"/>
      <c r="AC26" s="81"/>
      <c r="AD26" s="81"/>
      <c r="AE26" s="81"/>
      <c r="AF26" s="81"/>
      <c r="AG26" s="82">
        <f t="shared" si="6"/>
        <v>0</v>
      </c>
      <c r="AH26" s="81"/>
      <c r="AI26" s="81"/>
      <c r="AJ26" s="81"/>
      <c r="AK26" s="257"/>
      <c r="AM26" s="245"/>
      <c r="AN26" s="81"/>
      <c r="AO26" s="81"/>
      <c r="AP26" s="81"/>
      <c r="AQ26" s="81"/>
      <c r="AR26" s="81"/>
      <c r="AS26" s="82">
        <f t="shared" si="7"/>
        <v>0</v>
      </c>
      <c r="AT26" s="81"/>
      <c r="AU26" s="81"/>
      <c r="AV26" s="81"/>
      <c r="AW26" s="257"/>
    </row>
    <row r="27" spans="1:49" ht="26" x14ac:dyDescent="0.15">
      <c r="A27" s="8"/>
      <c r="B27" s="7" t="s">
        <v>215</v>
      </c>
      <c r="C27" s="95"/>
      <c r="D27" s="7" t="s">
        <v>56</v>
      </c>
      <c r="E27" s="1" t="s">
        <v>432</v>
      </c>
      <c r="F27" s="29" t="s">
        <v>7</v>
      </c>
      <c r="G27" s="29" t="s">
        <v>208</v>
      </c>
      <c r="H27" s="29" t="s">
        <v>108</v>
      </c>
      <c r="I27" s="187" t="s">
        <v>104</v>
      </c>
      <c r="J27" s="298">
        <f>6*5+2*5*5</f>
        <v>80</v>
      </c>
      <c r="K27" s="29">
        <f>J27</f>
        <v>80</v>
      </c>
      <c r="L27" s="29"/>
      <c r="M27" s="295"/>
      <c r="N27" s="272"/>
      <c r="O27" s="245"/>
      <c r="P27" s="81"/>
      <c r="Q27" s="81"/>
      <c r="R27" s="81"/>
      <c r="S27" s="81"/>
      <c r="T27" s="81"/>
      <c r="U27" s="180">
        <f t="shared" si="5"/>
        <v>0</v>
      </c>
      <c r="V27" s="81"/>
      <c r="W27" s="81"/>
      <c r="X27" s="81"/>
      <c r="Y27" s="257"/>
      <c r="AA27" s="245">
        <f>K27</f>
        <v>80</v>
      </c>
      <c r="AB27" s="81"/>
      <c r="AC27" s="81"/>
      <c r="AD27" s="81"/>
      <c r="AE27" s="81"/>
      <c r="AF27" s="81"/>
      <c r="AG27" s="82">
        <f t="shared" si="6"/>
        <v>80</v>
      </c>
      <c r="AH27" s="82">
        <f>AG27</f>
        <v>80</v>
      </c>
      <c r="AI27" s="81"/>
      <c r="AJ27" s="81"/>
      <c r="AK27" s="257"/>
      <c r="AM27" s="245"/>
      <c r="AN27" s="81"/>
      <c r="AO27" s="81"/>
      <c r="AP27" s="81"/>
      <c r="AQ27" s="81"/>
      <c r="AR27" s="81"/>
      <c r="AS27" s="82">
        <f t="shared" si="7"/>
        <v>0</v>
      </c>
      <c r="AT27" s="81"/>
      <c r="AU27" s="81"/>
      <c r="AV27" s="81"/>
      <c r="AW27" s="257"/>
    </row>
    <row r="28" spans="1:49" s="94" customFormat="1" ht="69.75" customHeight="1" thickBot="1" x14ac:dyDescent="0.2">
      <c r="A28" s="10"/>
      <c r="B28" s="12" t="s">
        <v>222</v>
      </c>
      <c r="C28" s="142"/>
      <c r="D28" s="12" t="s">
        <v>62</v>
      </c>
      <c r="E28" s="1" t="s">
        <v>209</v>
      </c>
      <c r="F28" s="29" t="s">
        <v>7</v>
      </c>
      <c r="G28" s="16" t="s">
        <v>88</v>
      </c>
      <c r="H28" s="16" t="s">
        <v>26</v>
      </c>
      <c r="I28" s="271" t="s">
        <v>10</v>
      </c>
      <c r="J28" s="299">
        <f>3*15*30+30</f>
        <v>1380</v>
      </c>
      <c r="K28" s="300"/>
      <c r="L28" s="300">
        <f>J28</f>
        <v>1380</v>
      </c>
      <c r="M28" s="301"/>
      <c r="N28" s="272"/>
      <c r="O28" s="288"/>
      <c r="P28" s="289">
        <v>30</v>
      </c>
      <c r="Q28" s="292">
        <f>J28-P28</f>
        <v>1350</v>
      </c>
      <c r="R28" s="289"/>
      <c r="S28" s="289"/>
      <c r="T28" s="289"/>
      <c r="U28" s="293">
        <f t="shared" si="5"/>
        <v>1380</v>
      </c>
      <c r="V28" s="289"/>
      <c r="W28" s="289"/>
      <c r="X28" s="289">
        <v>1380</v>
      </c>
      <c r="Y28" s="290"/>
      <c r="Z28" s="74"/>
      <c r="AA28" s="288"/>
      <c r="AB28" s="289"/>
      <c r="AC28" s="289"/>
      <c r="AD28" s="289"/>
      <c r="AE28" s="289"/>
      <c r="AF28" s="289"/>
      <c r="AG28" s="248">
        <f t="shared" si="6"/>
        <v>0</v>
      </c>
      <c r="AH28" s="289"/>
      <c r="AI28" s="289"/>
      <c r="AJ28" s="289"/>
      <c r="AK28" s="290"/>
      <c r="AL28" s="74"/>
      <c r="AM28" s="288"/>
      <c r="AN28" s="289"/>
      <c r="AO28" s="289"/>
      <c r="AP28" s="289"/>
      <c r="AQ28" s="289"/>
      <c r="AR28" s="289"/>
      <c r="AS28" s="248">
        <f t="shared" si="7"/>
        <v>0</v>
      </c>
      <c r="AT28" s="289"/>
      <c r="AU28" s="289"/>
      <c r="AV28" s="289"/>
      <c r="AW28" s="290"/>
    </row>
    <row r="30" spans="1:49" x14ac:dyDescent="0.15">
      <c r="O30" s="74"/>
      <c r="P30" s="74"/>
      <c r="Q30" s="74"/>
      <c r="R30" s="74"/>
      <c r="S30" s="74"/>
      <c r="T30" s="74"/>
      <c r="U30" s="181"/>
      <c r="V30" s="74"/>
      <c r="W30" s="74"/>
      <c r="X30" s="74"/>
      <c r="Y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49" x14ac:dyDescent="0.15">
      <c r="O31" s="74"/>
      <c r="P31" s="74"/>
      <c r="Q31" s="74"/>
      <c r="R31" s="74"/>
      <c r="S31" s="74"/>
      <c r="T31" s="74"/>
      <c r="U31" s="181"/>
      <c r="V31" s="74"/>
      <c r="W31" s="74"/>
      <c r="X31" s="74"/>
      <c r="Y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</row>
    <row r="32" spans="1:49" x14ac:dyDescent="0.15">
      <c r="O32" s="74"/>
      <c r="P32" s="74"/>
      <c r="Q32" s="74"/>
      <c r="R32" s="74"/>
      <c r="S32" s="74"/>
      <c r="T32" s="74"/>
      <c r="U32" s="181"/>
      <c r="V32" s="74"/>
      <c r="W32" s="74"/>
      <c r="X32" s="74"/>
      <c r="Y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5:49" x14ac:dyDescent="0.15">
      <c r="O33" s="74"/>
      <c r="P33" s="74"/>
      <c r="Q33" s="74"/>
      <c r="R33" s="74"/>
      <c r="S33" s="74"/>
      <c r="T33" s="74"/>
      <c r="U33" s="181"/>
      <c r="V33" s="74"/>
      <c r="W33" s="74"/>
      <c r="X33" s="74"/>
      <c r="Y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5:49" x14ac:dyDescent="0.15">
      <c r="E34" s="32"/>
      <c r="O34" s="74"/>
      <c r="P34" s="74"/>
      <c r="Q34" s="74"/>
      <c r="R34" s="74"/>
      <c r="S34" s="74"/>
      <c r="T34" s="74"/>
      <c r="U34" s="181"/>
      <c r="V34" s="74"/>
      <c r="W34" s="74"/>
      <c r="X34" s="74"/>
      <c r="Y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5" spans="5:49" x14ac:dyDescent="0.15">
      <c r="G35" s="99"/>
      <c r="O35" s="74"/>
      <c r="P35" s="74"/>
      <c r="Q35" s="74"/>
      <c r="R35" s="74"/>
      <c r="S35" s="74"/>
      <c r="T35" s="74"/>
      <c r="U35" s="181"/>
      <c r="V35" s="74"/>
      <c r="W35" s="74"/>
      <c r="X35" s="74"/>
      <c r="Y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</row>
    <row r="36" spans="5:49" x14ac:dyDescent="0.15">
      <c r="O36" s="74"/>
      <c r="P36" s="74"/>
      <c r="Q36" s="74"/>
      <c r="R36" s="74"/>
      <c r="S36" s="74"/>
      <c r="T36" s="74"/>
      <c r="U36" s="181"/>
      <c r="V36" s="74"/>
      <c r="W36" s="74"/>
      <c r="X36" s="74"/>
      <c r="Y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</row>
    <row r="37" spans="5:49" x14ac:dyDescent="0.15">
      <c r="O37" s="74"/>
      <c r="P37" s="74"/>
      <c r="Q37" s="74"/>
      <c r="R37" s="74"/>
      <c r="S37" s="74"/>
      <c r="T37" s="74"/>
      <c r="U37" s="181"/>
      <c r="V37" s="74"/>
      <c r="W37" s="74"/>
      <c r="X37" s="74"/>
      <c r="Y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</row>
    <row r="38" spans="5:49" x14ac:dyDescent="0.15">
      <c r="O38" s="74"/>
      <c r="P38" s="74"/>
      <c r="Q38" s="74"/>
      <c r="R38" s="74"/>
      <c r="S38" s="74"/>
      <c r="T38" s="74"/>
      <c r="U38" s="181"/>
      <c r="V38" s="74"/>
      <c r="W38" s="74"/>
      <c r="X38" s="74"/>
      <c r="Y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5:49" x14ac:dyDescent="0.15">
      <c r="O39" s="74"/>
      <c r="P39" s="74"/>
      <c r="Q39" s="74"/>
      <c r="R39" s="74"/>
      <c r="S39" s="74"/>
      <c r="T39" s="74"/>
      <c r="U39" s="181"/>
      <c r="V39" s="74"/>
      <c r="W39" s="74"/>
      <c r="X39" s="74"/>
      <c r="Y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  <row r="40" spans="5:49" x14ac:dyDescent="0.15">
      <c r="O40" s="74"/>
      <c r="P40" s="74"/>
      <c r="Q40" s="74"/>
      <c r="R40" s="74"/>
      <c r="S40" s="74"/>
      <c r="T40" s="74"/>
      <c r="U40" s="181"/>
      <c r="V40" s="74"/>
      <c r="W40" s="74"/>
      <c r="X40" s="74"/>
      <c r="Y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</row>
    <row r="41" spans="5:49" x14ac:dyDescent="0.15">
      <c r="O41" s="74"/>
      <c r="P41" s="74"/>
      <c r="Q41" s="74"/>
      <c r="R41" s="74"/>
      <c r="S41" s="74"/>
      <c r="T41" s="74"/>
      <c r="U41" s="181"/>
      <c r="V41" s="74"/>
      <c r="W41" s="74"/>
      <c r="X41" s="74"/>
      <c r="Y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</row>
    <row r="42" spans="5:49" x14ac:dyDescent="0.15">
      <c r="O42" s="74"/>
      <c r="P42" s="74"/>
      <c r="Q42" s="74"/>
      <c r="R42" s="74"/>
      <c r="S42" s="74"/>
      <c r="T42" s="74"/>
      <c r="U42" s="181"/>
      <c r="V42" s="74"/>
      <c r="W42" s="74"/>
      <c r="X42" s="74"/>
      <c r="Y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</row>
    <row r="43" spans="5:49" x14ac:dyDescent="0.15">
      <c r="O43" s="74"/>
      <c r="P43" s="74"/>
      <c r="Q43" s="74"/>
      <c r="R43" s="74"/>
      <c r="S43" s="74"/>
      <c r="T43" s="74"/>
      <c r="U43" s="181"/>
      <c r="V43" s="74"/>
      <c r="W43" s="74"/>
      <c r="X43" s="74"/>
      <c r="Y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</row>
    <row r="44" spans="5:49" x14ac:dyDescent="0.15">
      <c r="O44" s="74"/>
      <c r="P44" s="74"/>
      <c r="Q44" s="74"/>
      <c r="R44" s="74"/>
      <c r="S44" s="74"/>
      <c r="T44" s="74"/>
      <c r="U44" s="181"/>
      <c r="V44" s="74"/>
      <c r="W44" s="74"/>
      <c r="X44" s="74"/>
      <c r="Y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</row>
    <row r="45" spans="5:49" x14ac:dyDescent="0.15">
      <c r="O45" s="74"/>
      <c r="P45" s="74"/>
      <c r="Q45" s="74"/>
      <c r="R45" s="74"/>
      <c r="S45" s="74"/>
      <c r="T45" s="74"/>
      <c r="U45" s="181"/>
      <c r="V45" s="74"/>
      <c r="W45" s="74"/>
      <c r="X45" s="74"/>
      <c r="Y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</row>
    <row r="46" spans="5:49" x14ac:dyDescent="0.15">
      <c r="O46" s="74"/>
      <c r="P46" s="74"/>
      <c r="Q46" s="74"/>
      <c r="R46" s="74"/>
      <c r="S46" s="74"/>
      <c r="T46" s="74"/>
      <c r="U46" s="181"/>
      <c r="V46" s="74"/>
      <c r="W46" s="74"/>
      <c r="X46" s="74"/>
      <c r="Y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</row>
    <row r="47" spans="5:49" x14ac:dyDescent="0.15">
      <c r="O47" s="74"/>
      <c r="P47" s="74"/>
      <c r="Q47" s="74"/>
      <c r="R47" s="74"/>
      <c r="S47" s="74"/>
      <c r="T47" s="74"/>
      <c r="U47" s="181"/>
      <c r="V47" s="74"/>
      <c r="W47" s="74"/>
      <c r="X47" s="74"/>
      <c r="Y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</row>
    <row r="48" spans="5:49" x14ac:dyDescent="0.15">
      <c r="O48" s="74"/>
      <c r="P48" s="74"/>
      <c r="Q48" s="74"/>
      <c r="R48" s="74"/>
      <c r="S48" s="74"/>
      <c r="T48" s="74"/>
      <c r="U48" s="181"/>
      <c r="V48" s="74"/>
      <c r="W48" s="74"/>
      <c r="X48" s="74"/>
      <c r="Y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</row>
    <row r="49" spans="15:49" x14ac:dyDescent="0.15">
      <c r="O49" s="74"/>
      <c r="P49" s="74"/>
      <c r="Q49" s="74"/>
      <c r="R49" s="74"/>
      <c r="S49" s="74"/>
      <c r="T49" s="74"/>
      <c r="U49" s="181"/>
      <c r="V49" s="74"/>
      <c r="W49" s="74"/>
      <c r="X49" s="74"/>
      <c r="Y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</row>
    <row r="50" spans="15:49" x14ac:dyDescent="0.15">
      <c r="O50" s="74"/>
      <c r="P50" s="74"/>
      <c r="Q50" s="74"/>
      <c r="R50" s="74"/>
      <c r="S50" s="74"/>
      <c r="T50" s="74"/>
      <c r="U50" s="181"/>
      <c r="V50" s="74"/>
      <c r="W50" s="74"/>
      <c r="X50" s="74"/>
      <c r="Y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</row>
    <row r="51" spans="15:49" x14ac:dyDescent="0.15">
      <c r="O51" s="74"/>
      <c r="P51" s="74"/>
      <c r="Q51" s="74"/>
      <c r="R51" s="74"/>
      <c r="S51" s="74"/>
      <c r="T51" s="74"/>
      <c r="U51" s="181"/>
      <c r="V51" s="74"/>
      <c r="W51" s="74"/>
      <c r="X51" s="74"/>
      <c r="Y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</row>
    <row r="52" spans="15:49" x14ac:dyDescent="0.15">
      <c r="O52" s="74"/>
      <c r="P52" s="74"/>
      <c r="Q52" s="74"/>
      <c r="R52" s="74"/>
      <c r="S52" s="74"/>
      <c r="T52" s="74"/>
      <c r="U52" s="181"/>
      <c r="V52" s="74"/>
      <c r="W52" s="74"/>
      <c r="X52" s="74"/>
      <c r="Y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</row>
    <row r="53" spans="15:49" x14ac:dyDescent="0.15">
      <c r="O53" s="74"/>
      <c r="P53" s="74"/>
      <c r="Q53" s="74"/>
      <c r="R53" s="74"/>
      <c r="S53" s="74"/>
      <c r="T53" s="74"/>
      <c r="U53" s="181"/>
      <c r="V53" s="74"/>
      <c r="W53" s="74"/>
      <c r="X53" s="74"/>
      <c r="Y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</row>
    <row r="54" spans="15:49" x14ac:dyDescent="0.15">
      <c r="O54" s="74"/>
      <c r="P54" s="74"/>
      <c r="Q54" s="74"/>
      <c r="R54" s="74"/>
      <c r="S54" s="74"/>
      <c r="T54" s="74"/>
      <c r="U54" s="181"/>
      <c r="V54" s="74"/>
      <c r="W54" s="74"/>
      <c r="X54" s="74"/>
      <c r="Y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</row>
    <row r="55" spans="15:49" x14ac:dyDescent="0.15">
      <c r="O55" s="74"/>
      <c r="P55" s="74"/>
      <c r="Q55" s="74"/>
      <c r="R55" s="74"/>
      <c r="S55" s="74"/>
      <c r="T55" s="74"/>
      <c r="U55" s="181"/>
      <c r="V55" s="74"/>
      <c r="W55" s="74"/>
      <c r="X55" s="74"/>
      <c r="Y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</row>
    <row r="56" spans="15:49" x14ac:dyDescent="0.15">
      <c r="O56" s="74"/>
      <c r="P56" s="74"/>
      <c r="Q56" s="74"/>
      <c r="R56" s="74"/>
      <c r="S56" s="74"/>
      <c r="T56" s="74"/>
      <c r="U56" s="181"/>
      <c r="V56" s="74"/>
      <c r="W56" s="74"/>
      <c r="X56" s="74"/>
      <c r="Y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</row>
    <row r="57" spans="15:49" x14ac:dyDescent="0.15">
      <c r="O57" s="74"/>
      <c r="P57" s="74"/>
      <c r="Q57" s="74"/>
      <c r="R57" s="74"/>
      <c r="S57" s="74"/>
      <c r="T57" s="74"/>
      <c r="U57" s="181"/>
      <c r="V57" s="74"/>
      <c r="W57" s="74"/>
      <c r="X57" s="74"/>
      <c r="Y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</row>
    <row r="58" spans="15:49" x14ac:dyDescent="0.15">
      <c r="O58" s="74"/>
      <c r="P58" s="74"/>
      <c r="Q58" s="74"/>
      <c r="R58" s="74"/>
      <c r="S58" s="74"/>
      <c r="T58" s="74"/>
      <c r="U58" s="181"/>
      <c r="V58" s="74"/>
      <c r="W58" s="74"/>
      <c r="X58" s="74"/>
      <c r="Y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</row>
    <row r="59" spans="15:49" x14ac:dyDescent="0.15">
      <c r="O59" s="74"/>
      <c r="P59" s="74"/>
      <c r="Q59" s="74"/>
      <c r="R59" s="74"/>
      <c r="S59" s="74"/>
      <c r="T59" s="74"/>
      <c r="U59" s="181"/>
      <c r="V59" s="74"/>
      <c r="W59" s="74"/>
      <c r="X59" s="74"/>
      <c r="Y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</row>
    <row r="60" spans="15:49" x14ac:dyDescent="0.15">
      <c r="O60" s="74"/>
      <c r="P60" s="74"/>
      <c r="Q60" s="74"/>
      <c r="R60" s="74"/>
      <c r="S60" s="74"/>
      <c r="T60" s="74"/>
      <c r="U60" s="181"/>
      <c r="V60" s="74"/>
      <c r="W60" s="74"/>
      <c r="X60" s="74"/>
      <c r="Y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</row>
    <row r="61" spans="15:49" x14ac:dyDescent="0.15">
      <c r="O61" s="74"/>
      <c r="P61" s="74"/>
      <c r="Q61" s="74"/>
      <c r="R61" s="74"/>
      <c r="S61" s="74"/>
      <c r="T61" s="74"/>
      <c r="U61" s="181"/>
      <c r="V61" s="74"/>
      <c r="W61" s="74"/>
      <c r="X61" s="74"/>
      <c r="Y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</row>
    <row r="62" spans="15:49" x14ac:dyDescent="0.15">
      <c r="O62" s="74"/>
      <c r="P62" s="74"/>
      <c r="Q62" s="74"/>
      <c r="R62" s="74"/>
      <c r="S62" s="74"/>
      <c r="T62" s="74"/>
      <c r="U62" s="181"/>
      <c r="V62" s="74"/>
      <c r="W62" s="74"/>
      <c r="X62" s="74"/>
      <c r="Y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</row>
    <row r="63" spans="15:49" x14ac:dyDescent="0.15">
      <c r="O63" s="74"/>
      <c r="P63" s="74"/>
      <c r="Q63" s="74"/>
      <c r="R63" s="74"/>
      <c r="S63" s="74"/>
      <c r="T63" s="74"/>
      <c r="U63" s="181"/>
      <c r="V63" s="74"/>
      <c r="W63" s="74"/>
      <c r="X63" s="74"/>
      <c r="Y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</row>
    <row r="64" spans="15:49" x14ac:dyDescent="0.15">
      <c r="O64" s="74"/>
      <c r="P64" s="74"/>
      <c r="Q64" s="74"/>
      <c r="R64" s="74"/>
      <c r="S64" s="74"/>
      <c r="T64" s="74"/>
      <c r="U64" s="181"/>
      <c r="V64" s="74"/>
      <c r="W64" s="74"/>
      <c r="X64" s="74"/>
      <c r="Y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</row>
    <row r="65" spans="15:49" x14ac:dyDescent="0.15">
      <c r="O65" s="74"/>
      <c r="P65" s="74"/>
      <c r="Q65" s="74"/>
      <c r="R65" s="74"/>
      <c r="S65" s="74"/>
      <c r="T65" s="74"/>
      <c r="U65" s="181"/>
      <c r="V65" s="74"/>
      <c r="W65" s="74"/>
      <c r="X65" s="74"/>
      <c r="Y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</row>
    <row r="66" spans="15:49" x14ac:dyDescent="0.15">
      <c r="O66" s="74"/>
      <c r="P66" s="74"/>
      <c r="Q66" s="74"/>
      <c r="R66" s="74"/>
      <c r="S66" s="74"/>
      <c r="T66" s="74"/>
      <c r="U66" s="181"/>
      <c r="V66" s="74"/>
      <c r="W66" s="74"/>
      <c r="X66" s="74"/>
      <c r="Y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</row>
    <row r="67" spans="15:49" x14ac:dyDescent="0.15">
      <c r="O67" s="74"/>
      <c r="P67" s="74"/>
      <c r="Q67" s="74"/>
      <c r="R67" s="74"/>
      <c r="S67" s="74"/>
      <c r="T67" s="74"/>
      <c r="U67" s="181"/>
      <c r="V67" s="74"/>
      <c r="W67" s="74"/>
      <c r="X67" s="74"/>
      <c r="Y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5:49" x14ac:dyDescent="0.15">
      <c r="O68" s="74"/>
      <c r="P68" s="74"/>
      <c r="Q68" s="74"/>
      <c r="R68" s="74"/>
      <c r="S68" s="74"/>
      <c r="T68" s="74"/>
      <c r="U68" s="181"/>
      <c r="V68" s="74"/>
      <c r="W68" s="74"/>
      <c r="X68" s="74"/>
      <c r="Y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</row>
    <row r="69" spans="15:49" x14ac:dyDescent="0.15">
      <c r="O69" s="74"/>
      <c r="P69" s="74"/>
      <c r="Q69" s="74"/>
      <c r="R69" s="74"/>
      <c r="S69" s="74"/>
      <c r="T69" s="74"/>
      <c r="U69" s="181"/>
      <c r="V69" s="74"/>
      <c r="W69" s="74"/>
      <c r="X69" s="74"/>
      <c r="Y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</row>
    <row r="70" spans="15:49" x14ac:dyDescent="0.15">
      <c r="O70" s="74"/>
      <c r="P70" s="74"/>
      <c r="Q70" s="74"/>
      <c r="R70" s="74"/>
      <c r="S70" s="74"/>
      <c r="T70" s="74"/>
      <c r="U70" s="181"/>
      <c r="V70" s="74"/>
      <c r="W70" s="74"/>
      <c r="X70" s="74"/>
      <c r="Y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</row>
    <row r="71" spans="15:49" x14ac:dyDescent="0.15">
      <c r="O71" s="74"/>
      <c r="P71" s="74"/>
      <c r="Q71" s="74"/>
      <c r="R71" s="74"/>
      <c r="S71" s="74"/>
      <c r="T71" s="74"/>
      <c r="U71" s="181"/>
      <c r="V71" s="74"/>
      <c r="W71" s="74"/>
      <c r="X71" s="74"/>
      <c r="Y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</row>
    <row r="72" spans="15:49" x14ac:dyDescent="0.15">
      <c r="O72" s="74"/>
      <c r="P72" s="74"/>
      <c r="Q72" s="74"/>
      <c r="R72" s="74"/>
      <c r="S72" s="74"/>
      <c r="T72" s="74"/>
      <c r="U72" s="181"/>
      <c r="V72" s="74"/>
      <c r="W72" s="74"/>
      <c r="X72" s="74"/>
      <c r="Y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</row>
    <row r="73" spans="15:49" x14ac:dyDescent="0.15">
      <c r="O73" s="2"/>
      <c r="P73" s="2"/>
      <c r="Q73" s="2"/>
      <c r="R73" s="2"/>
      <c r="S73" s="2"/>
      <c r="T73" s="2"/>
      <c r="U73" s="182"/>
      <c r="V73" s="2"/>
      <c r="W73" s="2"/>
      <c r="X73" s="2"/>
      <c r="Y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5:49" x14ac:dyDescent="0.15">
      <c r="O74" s="2"/>
      <c r="P74" s="2"/>
      <c r="Q74" s="2"/>
      <c r="R74" s="2"/>
      <c r="S74" s="2"/>
      <c r="T74" s="2"/>
      <c r="U74" s="182"/>
      <c r="V74" s="2"/>
      <c r="W74" s="2"/>
      <c r="X74" s="2"/>
      <c r="Y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5:49" x14ac:dyDescent="0.15">
      <c r="O75" s="2"/>
      <c r="P75" s="2"/>
      <c r="Q75" s="2"/>
      <c r="R75" s="2"/>
      <c r="S75" s="2"/>
      <c r="T75" s="2"/>
      <c r="U75" s="182"/>
      <c r="V75" s="2"/>
      <c r="W75" s="2"/>
      <c r="X75" s="2"/>
      <c r="Y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5:49" x14ac:dyDescent="0.15">
      <c r="O76" s="2"/>
      <c r="P76" s="2"/>
      <c r="Q76" s="2"/>
      <c r="R76" s="2"/>
      <c r="S76" s="2"/>
      <c r="T76" s="2"/>
      <c r="U76" s="182"/>
      <c r="V76" s="2"/>
      <c r="W76" s="2"/>
      <c r="X76" s="2"/>
      <c r="Y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5:49" x14ac:dyDescent="0.15">
      <c r="O77" s="2"/>
      <c r="P77" s="2"/>
      <c r="Q77" s="2"/>
      <c r="R77" s="2"/>
      <c r="S77" s="2"/>
      <c r="T77" s="2"/>
      <c r="U77" s="182"/>
      <c r="V77" s="2"/>
      <c r="W77" s="2"/>
      <c r="X77" s="2"/>
      <c r="Y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5:49" x14ac:dyDescent="0.15">
      <c r="O78" s="2"/>
      <c r="P78" s="2"/>
      <c r="Q78" s="2"/>
      <c r="R78" s="2"/>
      <c r="S78" s="2"/>
      <c r="T78" s="2"/>
      <c r="U78" s="182"/>
      <c r="V78" s="2"/>
      <c r="W78" s="2"/>
      <c r="X78" s="2"/>
      <c r="Y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</sheetData>
  <customSheetViews>
    <customSheetView guid="{033B3830-A9CA-8D41-BC84-D742977C4300}" scale="89" showGridLines="0" topLeftCell="A22">
      <selection activeCell="B15" sqref="B15"/>
      <pageMargins left="0.7" right="0.7" top="0.75" bottom="0.75" header="0.3" footer="0.3"/>
      <pageSetup orientation="portrait" r:id="rId1"/>
    </customSheetView>
    <customSheetView guid="{694CA80F-83B4-4B42-A82F-AA4B9565E59A}" scale="89" showGridLines="0" topLeftCell="AI1">
      <selection activeCell="BC10" sqref="BC10"/>
      <pageMargins left="0.7" right="0.7" top="0.75" bottom="0.75" header="0.3" footer="0.3"/>
      <pageSetup orientation="portrait" r:id="rId2"/>
    </customSheetView>
    <customSheetView guid="{072E7775-6D14-894A-BE79-51AE1E53E486}" scale="125" showGridLines="0" topLeftCell="B24">
      <selection activeCell="G26" sqref="G26"/>
      <pageMargins left="0.7" right="0.7" top="0.75" bottom="0.75" header="0.3" footer="0.3"/>
      <pageSetup orientation="portrait"/>
    </customSheetView>
  </customSheetViews>
  <mergeCells count="17">
    <mergeCell ref="A2:M2"/>
    <mergeCell ref="A3:M3"/>
    <mergeCell ref="A4:M4"/>
    <mergeCell ref="A5:M5"/>
    <mergeCell ref="A6:A7"/>
    <mergeCell ref="B6:B7"/>
    <mergeCell ref="D6:D7"/>
    <mergeCell ref="F6:G6"/>
    <mergeCell ref="H6:I6"/>
    <mergeCell ref="J6:J7"/>
    <mergeCell ref="AM7:AW7"/>
    <mergeCell ref="A9:B9"/>
    <mergeCell ref="O7:Y7"/>
    <mergeCell ref="AA7:AK7"/>
    <mergeCell ref="K6:L6"/>
    <mergeCell ref="M6:M7"/>
    <mergeCell ref="B8:D8"/>
  </mergeCell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7"/>
  <sheetViews>
    <sheetView showGridLines="0" topLeftCell="A13" zoomScale="150" zoomScaleNormal="150" zoomScalePageLayoutView="150" workbookViewId="0">
      <selection activeCell="F57" sqref="F57"/>
    </sheetView>
  </sheetViews>
  <sheetFormatPr baseColWidth="10" defaultColWidth="8.83203125" defaultRowHeight="13" x14ac:dyDescent="0.15"/>
  <cols>
    <col min="1" max="1" width="6.1640625" style="65" customWidth="1"/>
    <col min="2" max="2" width="73.6640625" style="65" customWidth="1"/>
    <col min="3" max="3" width="16.5" style="65" customWidth="1"/>
    <col min="4" max="4" width="18.83203125" style="65" customWidth="1"/>
    <col min="5" max="5" width="22.33203125" style="65" customWidth="1"/>
    <col min="6" max="6" width="14.5" style="65" customWidth="1"/>
    <col min="7" max="7" width="16.5" style="65" customWidth="1"/>
    <col min="8" max="8" width="15" style="65" customWidth="1"/>
    <col min="9" max="9" width="13.5" style="65" customWidth="1"/>
    <col min="10" max="10" width="12.5" style="84" customWidth="1"/>
    <col min="11" max="11" width="13.83203125" style="65" customWidth="1"/>
    <col min="12" max="12" width="14.1640625" style="65" customWidth="1"/>
    <col min="13" max="13" width="8.83203125" style="65"/>
    <col min="14" max="14" width="13.83203125" style="74" customWidth="1"/>
    <col min="15" max="16" width="14.5" style="3" customWidth="1"/>
    <col min="17" max="17" width="11.5" style="3" customWidth="1"/>
    <col min="18" max="18" width="13.6640625" style="3" customWidth="1"/>
    <col min="19" max="19" width="13.1640625" style="3" customWidth="1"/>
    <col min="20" max="20" width="8.83203125" style="3" customWidth="1"/>
    <col min="21" max="21" width="11" style="3" customWidth="1"/>
    <col min="22" max="22" width="13" style="3" customWidth="1"/>
    <col min="23" max="23" width="8.83203125" style="3" customWidth="1"/>
    <col min="24" max="24" width="16.6640625" style="3" customWidth="1"/>
    <col min="25" max="25" width="8.83203125" style="3" customWidth="1"/>
    <col min="26" max="26" width="8.83203125" style="74"/>
    <col min="27" max="30" width="8.83203125" style="3"/>
    <col min="31" max="31" width="11.33203125" style="3" customWidth="1"/>
    <col min="32" max="35" width="8.83203125" style="3"/>
    <col min="36" max="36" width="16.33203125" style="3" customWidth="1"/>
    <col min="37" max="37" width="8.83203125" style="3"/>
    <col min="38" max="38" width="8.83203125" style="74"/>
    <col min="39" max="47" width="8.83203125" style="3"/>
    <col min="48" max="48" width="13.83203125" style="3" customWidth="1"/>
    <col min="49" max="49" width="8.83203125" style="3"/>
    <col min="50" max="16384" width="8.83203125" style="65"/>
  </cols>
  <sheetData>
    <row r="1" spans="1:50" x14ac:dyDescent="0.15">
      <c r="A1" s="58"/>
      <c r="B1" s="58" t="s">
        <v>3</v>
      </c>
      <c r="C1" s="58"/>
      <c r="D1" s="58"/>
      <c r="E1" s="58"/>
      <c r="F1" s="58"/>
      <c r="G1" s="59"/>
      <c r="H1" s="59"/>
      <c r="I1" s="59"/>
      <c r="J1" s="60"/>
      <c r="K1" s="59"/>
      <c r="L1" s="59"/>
      <c r="M1" s="59"/>
    </row>
    <row r="2" spans="1:50" x14ac:dyDescent="0.15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50" x14ac:dyDescent="0.15">
      <c r="A3" s="396" t="s">
        <v>134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T3" s="66"/>
      <c r="AE3" s="67"/>
    </row>
    <row r="4" spans="1:50" ht="45" customHeight="1" x14ac:dyDescent="0.15">
      <c r="A4" s="396" t="s">
        <v>453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T4" s="68"/>
      <c r="AS4" s="67"/>
    </row>
    <row r="5" spans="1:50" ht="14" thickBot="1" x14ac:dyDescent="0.2">
      <c r="A5" s="400" t="s">
        <v>135</v>
      </c>
      <c r="B5" s="400"/>
      <c r="C5" s="400"/>
      <c r="D5" s="400"/>
      <c r="E5" s="400"/>
      <c r="F5" s="400"/>
      <c r="G5" s="400"/>
      <c r="H5" s="400"/>
      <c r="I5" s="400"/>
      <c r="J5" s="401"/>
      <c r="K5" s="401"/>
      <c r="L5" s="401"/>
      <c r="M5" s="401"/>
      <c r="N5" s="85"/>
      <c r="U5" s="67"/>
      <c r="W5" s="67"/>
    </row>
    <row r="6" spans="1:50" ht="16" customHeight="1" thickBot="1" x14ac:dyDescent="0.2">
      <c r="A6" s="375" t="s">
        <v>5</v>
      </c>
      <c r="B6" s="353"/>
      <c r="C6" s="43"/>
      <c r="D6" s="353" t="s">
        <v>178</v>
      </c>
      <c r="E6" s="43"/>
      <c r="F6" s="353" t="s">
        <v>64</v>
      </c>
      <c r="G6" s="353"/>
      <c r="H6" s="353" t="s">
        <v>8</v>
      </c>
      <c r="I6" s="354"/>
      <c r="J6" s="402" t="s">
        <v>65</v>
      </c>
      <c r="K6" s="393" t="s">
        <v>0</v>
      </c>
      <c r="L6" s="393"/>
      <c r="M6" s="394" t="s">
        <v>66</v>
      </c>
      <c r="N6" s="80"/>
      <c r="U6" s="69"/>
    </row>
    <row r="7" spans="1:50" ht="73.5" customHeight="1" x14ac:dyDescent="0.15">
      <c r="A7" s="375"/>
      <c r="B7" s="353"/>
      <c r="C7" s="53" t="s">
        <v>6</v>
      </c>
      <c r="D7" s="353"/>
      <c r="E7" s="43" t="s">
        <v>172</v>
      </c>
      <c r="F7" s="13" t="s">
        <v>67</v>
      </c>
      <c r="G7" s="13" t="s">
        <v>68</v>
      </c>
      <c r="H7" s="43" t="s">
        <v>1</v>
      </c>
      <c r="I7" s="186" t="s">
        <v>2</v>
      </c>
      <c r="J7" s="403"/>
      <c r="K7" s="43" t="s">
        <v>69</v>
      </c>
      <c r="L7" s="43" t="s">
        <v>136</v>
      </c>
      <c r="M7" s="395"/>
      <c r="O7" s="383" t="s">
        <v>156</v>
      </c>
      <c r="P7" s="384"/>
      <c r="Q7" s="384"/>
      <c r="R7" s="384"/>
      <c r="S7" s="384"/>
      <c r="T7" s="384"/>
      <c r="U7" s="384"/>
      <c r="V7" s="384"/>
      <c r="W7" s="384"/>
      <c r="X7" s="384"/>
      <c r="Y7" s="385"/>
      <c r="AA7" s="386" t="s">
        <v>157</v>
      </c>
      <c r="AB7" s="387"/>
      <c r="AC7" s="387"/>
      <c r="AD7" s="387"/>
      <c r="AE7" s="387"/>
      <c r="AF7" s="387"/>
      <c r="AG7" s="387"/>
      <c r="AH7" s="387"/>
      <c r="AI7" s="387"/>
      <c r="AJ7" s="387"/>
      <c r="AK7" s="388"/>
      <c r="AM7" s="389" t="s">
        <v>158</v>
      </c>
      <c r="AN7" s="390"/>
      <c r="AO7" s="390"/>
      <c r="AP7" s="390"/>
      <c r="AQ7" s="390"/>
      <c r="AR7" s="390"/>
      <c r="AS7" s="390"/>
      <c r="AT7" s="390"/>
      <c r="AU7" s="390"/>
      <c r="AV7" s="390"/>
      <c r="AW7" s="391"/>
    </row>
    <row r="8" spans="1:50" ht="65" x14ac:dyDescent="0.15">
      <c r="A8" s="8"/>
      <c r="B8" s="392" t="s">
        <v>137</v>
      </c>
      <c r="C8" s="392"/>
      <c r="D8" s="392"/>
      <c r="E8" s="42"/>
      <c r="F8" s="29" t="s">
        <v>7</v>
      </c>
      <c r="G8" s="29" t="s">
        <v>138</v>
      </c>
      <c r="H8" s="29"/>
      <c r="I8" s="315"/>
      <c r="J8" s="261"/>
      <c r="K8" s="11"/>
      <c r="L8" s="11"/>
      <c r="M8" s="262"/>
      <c r="O8" s="252" t="s">
        <v>159</v>
      </c>
      <c r="P8" s="61" t="s">
        <v>160</v>
      </c>
      <c r="Q8" s="61" t="s">
        <v>161</v>
      </c>
      <c r="R8" s="61" t="s">
        <v>216</v>
      </c>
      <c r="S8" s="61" t="s">
        <v>162</v>
      </c>
      <c r="T8" s="61" t="s">
        <v>163</v>
      </c>
      <c r="U8" s="61" t="s">
        <v>164</v>
      </c>
      <c r="V8" s="61" t="s">
        <v>165</v>
      </c>
      <c r="W8" s="61" t="s">
        <v>166</v>
      </c>
      <c r="X8" s="61" t="s">
        <v>167</v>
      </c>
      <c r="Y8" s="253" t="s">
        <v>168</v>
      </c>
      <c r="AA8" s="250" t="s">
        <v>159</v>
      </c>
      <c r="AB8" s="62" t="s">
        <v>160</v>
      </c>
      <c r="AC8" s="62" t="s">
        <v>161</v>
      </c>
      <c r="AD8" s="62" t="s">
        <v>216</v>
      </c>
      <c r="AE8" s="62" t="s">
        <v>162</v>
      </c>
      <c r="AF8" s="62" t="s">
        <v>163</v>
      </c>
      <c r="AG8" s="62" t="s">
        <v>164</v>
      </c>
      <c r="AH8" s="62" t="s">
        <v>165</v>
      </c>
      <c r="AI8" s="62" t="s">
        <v>169</v>
      </c>
      <c r="AJ8" s="62" t="s">
        <v>167</v>
      </c>
      <c r="AK8" s="251" t="s">
        <v>168</v>
      </c>
      <c r="AM8" s="231" t="s">
        <v>159</v>
      </c>
      <c r="AN8" s="63" t="s">
        <v>160</v>
      </c>
      <c r="AO8" s="63" t="s">
        <v>161</v>
      </c>
      <c r="AP8" s="63" t="s">
        <v>216</v>
      </c>
      <c r="AQ8" s="63" t="s">
        <v>162</v>
      </c>
      <c r="AR8" s="63" t="s">
        <v>163</v>
      </c>
      <c r="AS8" s="63" t="s">
        <v>164</v>
      </c>
      <c r="AT8" s="63" t="s">
        <v>165</v>
      </c>
      <c r="AU8" s="63" t="s">
        <v>170</v>
      </c>
      <c r="AV8" s="63" t="s">
        <v>167</v>
      </c>
      <c r="AW8" s="232" t="s">
        <v>168</v>
      </c>
    </row>
    <row r="9" spans="1:50" s="3" customFormat="1" ht="26.25" customHeight="1" x14ac:dyDescent="0.2">
      <c r="A9" s="382" t="s">
        <v>171</v>
      </c>
      <c r="B9" s="382"/>
      <c r="C9" s="70"/>
      <c r="D9" s="71"/>
      <c r="E9" s="71"/>
      <c r="F9" s="71"/>
      <c r="G9" s="71"/>
      <c r="H9" s="72"/>
      <c r="I9" s="259"/>
      <c r="J9" s="196">
        <f>J10</f>
        <v>44803</v>
      </c>
      <c r="K9" s="73">
        <f t="shared" ref="K9:AW9" si="0">K10</f>
        <v>25413</v>
      </c>
      <c r="L9" s="73">
        <f t="shared" si="0"/>
        <v>19390</v>
      </c>
      <c r="M9" s="233">
        <f t="shared" si="0"/>
        <v>0</v>
      </c>
      <c r="N9" s="227"/>
      <c r="O9" s="196">
        <f t="shared" si="0"/>
        <v>14347</v>
      </c>
      <c r="P9" s="73">
        <f t="shared" si="0"/>
        <v>2533</v>
      </c>
      <c r="Q9" s="73">
        <f t="shared" si="0"/>
        <v>5608</v>
      </c>
      <c r="R9" s="73">
        <f t="shared" si="0"/>
        <v>1320</v>
      </c>
      <c r="S9" s="73">
        <f t="shared" si="0"/>
        <v>0</v>
      </c>
      <c r="T9" s="73">
        <f t="shared" si="0"/>
        <v>0</v>
      </c>
      <c r="U9" s="73">
        <f t="shared" si="0"/>
        <v>23808</v>
      </c>
      <c r="V9" s="73">
        <f t="shared" si="0"/>
        <v>11210</v>
      </c>
      <c r="W9" s="73">
        <f t="shared" si="0"/>
        <v>0</v>
      </c>
      <c r="X9" s="73">
        <f t="shared" si="0"/>
        <v>12598</v>
      </c>
      <c r="Y9" s="233">
        <f t="shared" si="0"/>
        <v>0</v>
      </c>
      <c r="Z9" s="227"/>
      <c r="AA9" s="196">
        <f t="shared" si="0"/>
        <v>7483</v>
      </c>
      <c r="AB9" s="73">
        <f t="shared" si="0"/>
        <v>2333</v>
      </c>
      <c r="AC9" s="73">
        <f t="shared" si="0"/>
        <v>2712</v>
      </c>
      <c r="AD9" s="73">
        <f t="shared" si="0"/>
        <v>0</v>
      </c>
      <c r="AE9" s="73">
        <f t="shared" si="0"/>
        <v>0</v>
      </c>
      <c r="AF9" s="73">
        <f t="shared" si="0"/>
        <v>0</v>
      </c>
      <c r="AG9" s="73">
        <f t="shared" si="0"/>
        <v>12528</v>
      </c>
      <c r="AH9" s="73">
        <f t="shared" si="0"/>
        <v>7716</v>
      </c>
      <c r="AI9" s="73">
        <f t="shared" si="0"/>
        <v>0</v>
      </c>
      <c r="AJ9" s="73">
        <f t="shared" si="0"/>
        <v>4812</v>
      </c>
      <c r="AK9" s="233">
        <f t="shared" si="0"/>
        <v>0</v>
      </c>
      <c r="AL9" s="227"/>
      <c r="AM9" s="196">
        <f t="shared" si="0"/>
        <v>6253</v>
      </c>
      <c r="AN9" s="73">
        <f t="shared" si="0"/>
        <v>2084</v>
      </c>
      <c r="AO9" s="73">
        <f t="shared" si="0"/>
        <v>130</v>
      </c>
      <c r="AP9" s="73">
        <f t="shared" si="0"/>
        <v>0</v>
      </c>
      <c r="AQ9" s="73">
        <f t="shared" si="0"/>
        <v>0</v>
      </c>
      <c r="AR9" s="73">
        <f t="shared" si="0"/>
        <v>0</v>
      </c>
      <c r="AS9" s="73">
        <f t="shared" si="0"/>
        <v>8467</v>
      </c>
      <c r="AT9" s="73">
        <f t="shared" si="0"/>
        <v>6487</v>
      </c>
      <c r="AU9" s="73">
        <f t="shared" si="0"/>
        <v>0</v>
      </c>
      <c r="AV9" s="73">
        <f t="shared" si="0"/>
        <v>1980</v>
      </c>
      <c r="AW9" s="73">
        <f t="shared" si="0"/>
        <v>0</v>
      </c>
      <c r="AX9" s="64"/>
    </row>
    <row r="10" spans="1:50" s="2" customFormat="1" ht="36" customHeight="1" x14ac:dyDescent="0.2">
      <c r="A10" s="149">
        <v>3</v>
      </c>
      <c r="B10" s="46" t="s">
        <v>225</v>
      </c>
      <c r="C10" s="150"/>
      <c r="D10" s="344" t="s">
        <v>390</v>
      </c>
      <c r="E10" s="151"/>
      <c r="F10" s="151"/>
      <c r="G10" s="151"/>
      <c r="H10" s="152"/>
      <c r="I10" s="294"/>
      <c r="J10" s="302">
        <f>J11+J18+J25+J30+J43</f>
        <v>44803</v>
      </c>
      <c r="K10" s="172">
        <f>K11+K18+K25+K30+K43</f>
        <v>25413</v>
      </c>
      <c r="L10" s="172">
        <f>L11+L18+L25+L30+L43</f>
        <v>19390</v>
      </c>
      <c r="M10" s="303">
        <f>M11+M18+M25+M30+M43</f>
        <v>0</v>
      </c>
      <c r="N10" s="227"/>
      <c r="O10" s="302">
        <f t="shared" ref="O10:Y10" si="1">O11+O18+O25+O30+O43</f>
        <v>14347</v>
      </c>
      <c r="P10" s="172">
        <f t="shared" si="1"/>
        <v>2533</v>
      </c>
      <c r="Q10" s="172">
        <f t="shared" si="1"/>
        <v>5608</v>
      </c>
      <c r="R10" s="172">
        <f t="shared" si="1"/>
        <v>1320</v>
      </c>
      <c r="S10" s="172">
        <f t="shared" si="1"/>
        <v>0</v>
      </c>
      <c r="T10" s="172">
        <f t="shared" si="1"/>
        <v>0</v>
      </c>
      <c r="U10" s="172">
        <f t="shared" si="1"/>
        <v>23808</v>
      </c>
      <c r="V10" s="172">
        <f t="shared" si="1"/>
        <v>11210</v>
      </c>
      <c r="W10" s="172">
        <f t="shared" si="1"/>
        <v>0</v>
      </c>
      <c r="X10" s="172">
        <f t="shared" si="1"/>
        <v>12598</v>
      </c>
      <c r="Y10" s="303">
        <f t="shared" si="1"/>
        <v>0</v>
      </c>
      <c r="Z10" s="227"/>
      <c r="AA10" s="302">
        <f t="shared" ref="AA10:AK10" si="2">AA11+AA18+AA25+AA30+AA43</f>
        <v>7483</v>
      </c>
      <c r="AB10" s="172">
        <f t="shared" si="2"/>
        <v>2333</v>
      </c>
      <c r="AC10" s="172">
        <f t="shared" si="2"/>
        <v>2712</v>
      </c>
      <c r="AD10" s="172">
        <f t="shared" si="2"/>
        <v>0</v>
      </c>
      <c r="AE10" s="172">
        <f t="shared" si="2"/>
        <v>0</v>
      </c>
      <c r="AF10" s="172">
        <f t="shared" si="2"/>
        <v>0</v>
      </c>
      <c r="AG10" s="172">
        <f t="shared" si="2"/>
        <v>12528</v>
      </c>
      <c r="AH10" s="172">
        <f t="shared" si="2"/>
        <v>7716</v>
      </c>
      <c r="AI10" s="172">
        <f t="shared" si="2"/>
        <v>0</v>
      </c>
      <c r="AJ10" s="172">
        <f t="shared" si="2"/>
        <v>4812</v>
      </c>
      <c r="AK10" s="303">
        <f t="shared" si="2"/>
        <v>0</v>
      </c>
      <c r="AL10" s="227"/>
      <c r="AM10" s="302">
        <f t="shared" ref="AM10:AW10" si="3">AM11+AM18+AM25+AM30+AM43</f>
        <v>6253</v>
      </c>
      <c r="AN10" s="172">
        <f t="shared" si="3"/>
        <v>2084</v>
      </c>
      <c r="AO10" s="172">
        <f t="shared" si="3"/>
        <v>130</v>
      </c>
      <c r="AP10" s="172">
        <f t="shared" si="3"/>
        <v>0</v>
      </c>
      <c r="AQ10" s="172">
        <f t="shared" si="3"/>
        <v>0</v>
      </c>
      <c r="AR10" s="172">
        <f t="shared" si="3"/>
        <v>0</v>
      </c>
      <c r="AS10" s="172">
        <f t="shared" si="3"/>
        <v>8467</v>
      </c>
      <c r="AT10" s="172">
        <f t="shared" si="3"/>
        <v>6487</v>
      </c>
      <c r="AU10" s="172">
        <f t="shared" si="3"/>
        <v>0</v>
      </c>
      <c r="AV10" s="172">
        <f t="shared" si="3"/>
        <v>1980</v>
      </c>
      <c r="AW10" s="172">
        <f t="shared" si="3"/>
        <v>0</v>
      </c>
      <c r="AX10" s="74"/>
    </row>
    <row r="11" spans="1:50" s="2" customFormat="1" ht="49.5" customHeight="1" x14ac:dyDescent="0.2">
      <c r="A11" s="154"/>
      <c r="B11" s="345" t="s">
        <v>391</v>
      </c>
      <c r="C11" s="154"/>
      <c r="D11" s="160" t="s">
        <v>392</v>
      </c>
      <c r="E11" s="147"/>
      <c r="F11" s="147"/>
      <c r="G11" s="147"/>
      <c r="H11" s="148"/>
      <c r="I11" s="316"/>
      <c r="J11" s="304">
        <f>SUM(J12:J17)</f>
        <v>13140</v>
      </c>
      <c r="K11" s="175">
        <f t="shared" ref="K11:AW11" si="4">SUM(K12:K17)</f>
        <v>0</v>
      </c>
      <c r="L11" s="175">
        <f t="shared" si="4"/>
        <v>13140</v>
      </c>
      <c r="M11" s="305">
        <f t="shared" si="4"/>
        <v>0</v>
      </c>
      <c r="N11" s="227"/>
      <c r="O11" s="304">
        <f t="shared" si="4"/>
        <v>3570</v>
      </c>
      <c r="P11" s="175">
        <f t="shared" si="4"/>
        <v>2100</v>
      </c>
      <c r="Q11" s="175">
        <f t="shared" si="4"/>
        <v>1100</v>
      </c>
      <c r="R11" s="175">
        <f t="shared" si="4"/>
        <v>1320</v>
      </c>
      <c r="S11" s="175">
        <f t="shared" si="4"/>
        <v>0</v>
      </c>
      <c r="T11" s="175">
        <f t="shared" si="4"/>
        <v>0</v>
      </c>
      <c r="U11" s="175">
        <f>SUM(U12:U17)</f>
        <v>8090</v>
      </c>
      <c r="V11" s="175">
        <f>SUM(V12:V17)</f>
        <v>0</v>
      </c>
      <c r="W11" s="175">
        <f>SUM(W12:W17)</f>
        <v>0</v>
      </c>
      <c r="X11" s="175">
        <f>SUM(X12:X17)</f>
        <v>8090</v>
      </c>
      <c r="Y11" s="305">
        <f>SUM(Y12:Y17)</f>
        <v>0</v>
      </c>
      <c r="Z11" s="227"/>
      <c r="AA11" s="304">
        <f t="shared" si="4"/>
        <v>0</v>
      </c>
      <c r="AB11" s="175">
        <f t="shared" si="4"/>
        <v>2100</v>
      </c>
      <c r="AC11" s="175">
        <f t="shared" si="4"/>
        <v>1100</v>
      </c>
      <c r="AD11" s="175">
        <f t="shared" si="4"/>
        <v>0</v>
      </c>
      <c r="AE11" s="175">
        <f t="shared" si="4"/>
        <v>0</v>
      </c>
      <c r="AF11" s="175">
        <f t="shared" si="4"/>
        <v>0</v>
      </c>
      <c r="AG11" s="175">
        <f t="shared" si="4"/>
        <v>3200</v>
      </c>
      <c r="AH11" s="175">
        <f t="shared" si="4"/>
        <v>0</v>
      </c>
      <c r="AI11" s="175">
        <f t="shared" si="4"/>
        <v>0</v>
      </c>
      <c r="AJ11" s="175">
        <f t="shared" si="4"/>
        <v>3200</v>
      </c>
      <c r="AK11" s="305">
        <f t="shared" si="4"/>
        <v>0</v>
      </c>
      <c r="AL11" s="227"/>
      <c r="AM11" s="304">
        <f t="shared" si="4"/>
        <v>0</v>
      </c>
      <c r="AN11" s="175">
        <f t="shared" si="4"/>
        <v>1850</v>
      </c>
      <c r="AO11" s="175">
        <f t="shared" si="4"/>
        <v>0</v>
      </c>
      <c r="AP11" s="175">
        <f t="shared" si="4"/>
        <v>0</v>
      </c>
      <c r="AQ11" s="175">
        <f t="shared" si="4"/>
        <v>0</v>
      </c>
      <c r="AR11" s="175">
        <f t="shared" si="4"/>
        <v>0</v>
      </c>
      <c r="AS11" s="175">
        <f t="shared" si="4"/>
        <v>1850</v>
      </c>
      <c r="AT11" s="175">
        <f t="shared" si="4"/>
        <v>0</v>
      </c>
      <c r="AU11" s="175">
        <f t="shared" si="4"/>
        <v>0</v>
      </c>
      <c r="AV11" s="175">
        <f t="shared" si="4"/>
        <v>1850</v>
      </c>
      <c r="AW11" s="175">
        <f t="shared" si="4"/>
        <v>0</v>
      </c>
      <c r="AX11" s="74"/>
    </row>
    <row r="12" spans="1:50" ht="59.25" customHeight="1" x14ac:dyDescent="0.15">
      <c r="A12" s="8"/>
      <c r="B12" s="20" t="s">
        <v>384</v>
      </c>
      <c r="D12" s="146" t="s">
        <v>287</v>
      </c>
      <c r="E12" s="146" t="s">
        <v>308</v>
      </c>
      <c r="F12" s="29" t="s">
        <v>80</v>
      </c>
      <c r="G12" s="29" t="s">
        <v>229</v>
      </c>
      <c r="H12" s="29" t="s">
        <v>23</v>
      </c>
      <c r="I12" s="187" t="s">
        <v>12</v>
      </c>
      <c r="J12" s="317">
        <f>5*14*3*3</f>
        <v>630</v>
      </c>
      <c r="K12" s="29"/>
      <c r="L12" s="29">
        <f t="shared" ref="L12:L17" si="5">J12</f>
        <v>630</v>
      </c>
      <c r="M12" s="295"/>
      <c r="N12" s="227"/>
      <c r="O12" s="245"/>
      <c r="P12" s="81">
        <f>J12/3</f>
        <v>210</v>
      </c>
      <c r="Q12" s="81"/>
      <c r="R12" s="78"/>
      <c r="S12" s="81"/>
      <c r="T12" s="82"/>
      <c r="U12" s="78">
        <f t="shared" ref="U12:U17" si="6">SUM(O12:T12)</f>
        <v>210</v>
      </c>
      <c r="V12" s="82"/>
      <c r="W12" s="81"/>
      <c r="X12" s="81">
        <f>P12</f>
        <v>210</v>
      </c>
      <c r="Y12" s="244"/>
      <c r="AA12" s="245"/>
      <c r="AB12" s="81">
        <f>P12</f>
        <v>210</v>
      </c>
      <c r="AC12" s="81"/>
      <c r="AD12" s="81"/>
      <c r="AE12" s="81"/>
      <c r="AF12" s="81"/>
      <c r="AG12" s="78">
        <f t="shared" ref="AG12:AG17" si="7">SUM(AA12:AF12)</f>
        <v>210</v>
      </c>
      <c r="AH12" s="81"/>
      <c r="AI12" s="81"/>
      <c r="AJ12" s="81">
        <v>210</v>
      </c>
      <c r="AK12" s="257"/>
      <c r="AM12" s="245">
        <f>AA12</f>
        <v>0</v>
      </c>
      <c r="AN12" s="81">
        <f>AB12</f>
        <v>210</v>
      </c>
      <c r="AO12" s="81"/>
      <c r="AP12" s="78"/>
      <c r="AQ12" s="81"/>
      <c r="AR12" s="81"/>
      <c r="AS12" s="78">
        <f t="shared" ref="AS12:AS17" si="8">SUM(AM12:AR12)</f>
        <v>210</v>
      </c>
      <c r="AT12" s="82"/>
      <c r="AU12" s="81"/>
      <c r="AV12" s="81">
        <v>210</v>
      </c>
      <c r="AW12" s="244"/>
    </row>
    <row r="13" spans="1:50" ht="80.25" customHeight="1" x14ac:dyDescent="0.15">
      <c r="A13" s="8"/>
      <c r="B13" s="20" t="s">
        <v>223</v>
      </c>
      <c r="C13" s="20"/>
      <c r="D13" s="7" t="s">
        <v>46</v>
      </c>
      <c r="E13" s="29" t="s">
        <v>288</v>
      </c>
      <c r="F13" s="29" t="s">
        <v>80</v>
      </c>
      <c r="G13" s="29" t="s">
        <v>99</v>
      </c>
      <c r="H13" s="29" t="s">
        <v>23</v>
      </c>
      <c r="I13" s="187" t="s">
        <v>12</v>
      </c>
      <c r="J13" s="317">
        <f>5*60*7+2*30*7+2*75*7</f>
        <v>3570</v>
      </c>
      <c r="K13" s="29"/>
      <c r="L13" s="29">
        <f t="shared" si="5"/>
        <v>3570</v>
      </c>
      <c r="M13" s="295"/>
      <c r="N13" s="227"/>
      <c r="O13" s="245">
        <f>J13</f>
        <v>3570</v>
      </c>
      <c r="P13" s="81"/>
      <c r="Q13" s="81"/>
      <c r="R13" s="81"/>
      <c r="S13" s="81"/>
      <c r="T13" s="81"/>
      <c r="U13" s="78">
        <f t="shared" si="6"/>
        <v>3570</v>
      </c>
      <c r="V13" s="81"/>
      <c r="W13" s="81"/>
      <c r="X13" s="81">
        <f>O13</f>
        <v>3570</v>
      </c>
      <c r="Y13" s="257"/>
      <c r="AA13" s="245"/>
      <c r="AB13" s="81"/>
      <c r="AC13" s="81"/>
      <c r="AD13" s="81"/>
      <c r="AE13" s="81"/>
      <c r="AF13" s="81"/>
      <c r="AG13" s="78">
        <f t="shared" si="7"/>
        <v>0</v>
      </c>
      <c r="AH13" s="81"/>
      <c r="AI13" s="81"/>
      <c r="AJ13" s="81"/>
      <c r="AK13" s="257"/>
      <c r="AM13" s="245"/>
      <c r="AN13" s="81"/>
      <c r="AO13" s="81"/>
      <c r="AP13" s="81"/>
      <c r="AQ13" s="81"/>
      <c r="AR13" s="81"/>
      <c r="AS13" s="78">
        <f t="shared" si="8"/>
        <v>0</v>
      </c>
      <c r="AT13" s="81"/>
      <c r="AU13" s="81"/>
      <c r="AV13" s="81"/>
      <c r="AW13" s="257"/>
    </row>
    <row r="14" spans="1:50" s="94" customFormat="1" ht="101.25" customHeight="1" x14ac:dyDescent="0.15">
      <c r="A14" s="8"/>
      <c r="B14" s="12" t="s">
        <v>224</v>
      </c>
      <c r="C14" s="142"/>
      <c r="D14" s="12" t="s">
        <v>57</v>
      </c>
      <c r="E14" s="12" t="s">
        <v>289</v>
      </c>
      <c r="F14" s="29" t="s">
        <v>125</v>
      </c>
      <c r="G14" s="29" t="s">
        <v>88</v>
      </c>
      <c r="H14" s="29" t="s">
        <v>26</v>
      </c>
      <c r="I14" s="187" t="s">
        <v>104</v>
      </c>
      <c r="J14" s="298">
        <f>5*20*13+5*20*9+5*100</f>
        <v>2700</v>
      </c>
      <c r="K14" s="29"/>
      <c r="L14" s="29">
        <f t="shared" si="5"/>
        <v>2700</v>
      </c>
      <c r="M14" s="295"/>
      <c r="N14" s="227"/>
      <c r="O14" s="245"/>
      <c r="P14" s="81">
        <f>5/2*100</f>
        <v>250</v>
      </c>
      <c r="Q14" s="81">
        <f>5*10*13+5*10*9</f>
        <v>1100</v>
      </c>
      <c r="R14" s="81"/>
      <c r="S14" s="81"/>
      <c r="T14" s="81"/>
      <c r="U14" s="78">
        <f t="shared" si="6"/>
        <v>1350</v>
      </c>
      <c r="V14" s="81"/>
      <c r="W14" s="81"/>
      <c r="X14" s="82">
        <f>U14</f>
        <v>1350</v>
      </c>
      <c r="Y14" s="257"/>
      <c r="Z14" s="74"/>
      <c r="AA14" s="245"/>
      <c r="AB14" s="81">
        <f>5/2*100</f>
        <v>250</v>
      </c>
      <c r="AC14" s="81">
        <f>Q14</f>
        <v>1100</v>
      </c>
      <c r="AD14" s="81"/>
      <c r="AE14" s="81"/>
      <c r="AF14" s="81"/>
      <c r="AG14" s="78">
        <f t="shared" si="7"/>
        <v>1350</v>
      </c>
      <c r="AH14" s="81"/>
      <c r="AI14" s="81"/>
      <c r="AJ14" s="82">
        <f>AG14</f>
        <v>1350</v>
      </c>
      <c r="AK14" s="257"/>
      <c r="AL14" s="74"/>
      <c r="AM14" s="245"/>
      <c r="AN14" s="81"/>
      <c r="AO14" s="81"/>
      <c r="AP14" s="81"/>
      <c r="AQ14" s="81"/>
      <c r="AR14" s="81"/>
      <c r="AS14" s="78">
        <f t="shared" si="8"/>
        <v>0</v>
      </c>
      <c r="AT14" s="81"/>
      <c r="AU14" s="81"/>
      <c r="AV14" s="81"/>
      <c r="AW14" s="257"/>
    </row>
    <row r="15" spans="1:50" ht="49.5" customHeight="1" x14ac:dyDescent="0.15">
      <c r="A15" s="8"/>
      <c r="B15" s="20" t="s">
        <v>351</v>
      </c>
      <c r="C15" s="20"/>
      <c r="D15" s="7" t="s">
        <v>48</v>
      </c>
      <c r="E15" s="29" t="s">
        <v>290</v>
      </c>
      <c r="F15" s="29" t="s">
        <v>7</v>
      </c>
      <c r="G15" s="29" t="s">
        <v>208</v>
      </c>
      <c r="H15" s="29" t="s">
        <v>23</v>
      </c>
      <c r="I15" s="187" t="s">
        <v>12</v>
      </c>
      <c r="J15" s="317">
        <f>14*10*3</f>
        <v>420</v>
      </c>
      <c r="K15" s="29"/>
      <c r="L15" s="29">
        <f t="shared" si="5"/>
        <v>420</v>
      </c>
      <c r="M15" s="295"/>
      <c r="N15" s="227"/>
      <c r="O15" s="245"/>
      <c r="P15" s="81">
        <f>14*10</f>
        <v>140</v>
      </c>
      <c r="Q15" s="81"/>
      <c r="R15" s="78"/>
      <c r="S15" s="81"/>
      <c r="T15" s="82"/>
      <c r="U15" s="78">
        <f t="shared" si="6"/>
        <v>140</v>
      </c>
      <c r="V15" s="82"/>
      <c r="W15" s="81"/>
      <c r="X15" s="81">
        <v>140</v>
      </c>
      <c r="Y15" s="244"/>
      <c r="AA15" s="245"/>
      <c r="AB15" s="81">
        <v>140</v>
      </c>
      <c r="AC15" s="81"/>
      <c r="AD15" s="81"/>
      <c r="AE15" s="81"/>
      <c r="AF15" s="81"/>
      <c r="AG15" s="78">
        <f t="shared" si="7"/>
        <v>140</v>
      </c>
      <c r="AH15" s="81"/>
      <c r="AI15" s="81"/>
      <c r="AJ15" s="81">
        <v>140</v>
      </c>
      <c r="AK15" s="257"/>
      <c r="AM15" s="245"/>
      <c r="AN15" s="81">
        <v>140</v>
      </c>
      <c r="AO15" s="81"/>
      <c r="AP15" s="78"/>
      <c r="AQ15" s="81"/>
      <c r="AR15" s="81"/>
      <c r="AS15" s="78">
        <f t="shared" si="8"/>
        <v>140</v>
      </c>
      <c r="AT15" s="82"/>
      <c r="AU15" s="81"/>
      <c r="AV15" s="81">
        <v>140</v>
      </c>
      <c r="AW15" s="244"/>
    </row>
    <row r="16" spans="1:50" s="94" customFormat="1" ht="61.5" customHeight="1" x14ac:dyDescent="0.15">
      <c r="A16" s="8"/>
      <c r="B16" s="12" t="s">
        <v>352</v>
      </c>
      <c r="C16" s="142"/>
      <c r="D16" s="12" t="s">
        <v>142</v>
      </c>
      <c r="E16" s="29" t="s">
        <v>291</v>
      </c>
      <c r="F16" s="29" t="s">
        <v>7</v>
      </c>
      <c r="G16" s="29" t="s">
        <v>197</v>
      </c>
      <c r="H16" s="29" t="s">
        <v>26</v>
      </c>
      <c r="I16" s="187" t="s">
        <v>12</v>
      </c>
      <c r="J16" s="298">
        <f>30*50*3</f>
        <v>4500</v>
      </c>
      <c r="K16" s="29"/>
      <c r="L16" s="29">
        <f t="shared" si="5"/>
        <v>4500</v>
      </c>
      <c r="M16" s="295"/>
      <c r="N16" s="227"/>
      <c r="O16" s="245"/>
      <c r="P16" s="81">
        <f>30*50</f>
        <v>1500</v>
      </c>
      <c r="Q16" s="81"/>
      <c r="R16" s="81"/>
      <c r="S16" s="81"/>
      <c r="T16" s="81"/>
      <c r="U16" s="78">
        <f t="shared" si="6"/>
        <v>1500</v>
      </c>
      <c r="V16" s="81"/>
      <c r="W16" s="81"/>
      <c r="X16" s="82">
        <f>U16</f>
        <v>1500</v>
      </c>
      <c r="Y16" s="257"/>
      <c r="Z16" s="74"/>
      <c r="AA16" s="245"/>
      <c r="AB16" s="81">
        <f>P16</f>
        <v>1500</v>
      </c>
      <c r="AC16" s="81"/>
      <c r="AD16" s="81"/>
      <c r="AE16" s="81"/>
      <c r="AF16" s="81"/>
      <c r="AG16" s="78">
        <f t="shared" si="7"/>
        <v>1500</v>
      </c>
      <c r="AH16" s="81"/>
      <c r="AI16" s="81"/>
      <c r="AJ16" s="82">
        <f>AG16</f>
        <v>1500</v>
      </c>
      <c r="AK16" s="257"/>
      <c r="AL16" s="74"/>
      <c r="AM16" s="245"/>
      <c r="AN16" s="81">
        <f>AB16</f>
        <v>1500</v>
      </c>
      <c r="AO16" s="81"/>
      <c r="AP16" s="81"/>
      <c r="AQ16" s="81"/>
      <c r="AR16" s="81"/>
      <c r="AS16" s="78">
        <f t="shared" si="8"/>
        <v>1500</v>
      </c>
      <c r="AT16" s="81"/>
      <c r="AU16" s="81"/>
      <c r="AV16" s="81">
        <v>1500</v>
      </c>
      <c r="AW16" s="257"/>
    </row>
    <row r="17" spans="1:50" ht="39" x14ac:dyDescent="0.15">
      <c r="A17" s="8"/>
      <c r="B17" s="20" t="s">
        <v>450</v>
      </c>
      <c r="C17" s="20"/>
      <c r="D17" s="7" t="s">
        <v>47</v>
      </c>
      <c r="E17" s="7" t="s">
        <v>292</v>
      </c>
      <c r="F17" s="29" t="s">
        <v>7</v>
      </c>
      <c r="G17" s="29" t="s">
        <v>208</v>
      </c>
      <c r="H17" s="29" t="s">
        <v>23</v>
      </c>
      <c r="I17" s="187" t="s">
        <v>108</v>
      </c>
      <c r="J17" s="298">
        <f>10*11*12</f>
        <v>1320</v>
      </c>
      <c r="K17" s="29"/>
      <c r="L17" s="29">
        <f t="shared" si="5"/>
        <v>1320</v>
      </c>
      <c r="M17" s="295"/>
      <c r="N17" s="227"/>
      <c r="O17" s="245"/>
      <c r="P17" s="97">
        <v>0</v>
      </c>
      <c r="Q17" s="97"/>
      <c r="R17" s="81">
        <f>J17</f>
        <v>1320</v>
      </c>
      <c r="S17" s="81"/>
      <c r="T17" s="81"/>
      <c r="U17" s="78">
        <f t="shared" si="6"/>
        <v>1320</v>
      </c>
      <c r="V17" s="81"/>
      <c r="W17" s="81"/>
      <c r="X17" s="100">
        <f>U17</f>
        <v>1320</v>
      </c>
      <c r="Y17" s="257"/>
      <c r="AA17" s="245"/>
      <c r="AB17" s="81">
        <f>P17</f>
        <v>0</v>
      </c>
      <c r="AC17" s="81"/>
      <c r="AD17" s="81"/>
      <c r="AE17" s="81"/>
      <c r="AF17" s="81"/>
      <c r="AG17" s="78">
        <f t="shared" si="7"/>
        <v>0</v>
      </c>
      <c r="AH17" s="81"/>
      <c r="AI17" s="81"/>
      <c r="AJ17" s="101"/>
      <c r="AK17" s="257"/>
      <c r="AM17" s="245"/>
      <c r="AN17" s="81">
        <f>AB17</f>
        <v>0</v>
      </c>
      <c r="AO17" s="81"/>
      <c r="AP17" s="81"/>
      <c r="AQ17" s="81"/>
      <c r="AR17" s="81"/>
      <c r="AS17" s="78">
        <f t="shared" si="8"/>
        <v>0</v>
      </c>
      <c r="AT17" s="81"/>
      <c r="AU17" s="81"/>
      <c r="AV17" s="100">
        <f>AJ17</f>
        <v>0</v>
      </c>
      <c r="AW17" s="257"/>
    </row>
    <row r="18" spans="1:50" s="2" customFormat="1" ht="49.5" customHeight="1" x14ac:dyDescent="0.2">
      <c r="A18" s="154"/>
      <c r="B18" s="343" t="s">
        <v>353</v>
      </c>
      <c r="C18" s="154"/>
      <c r="D18" s="160" t="s">
        <v>408</v>
      </c>
      <c r="E18" s="147"/>
      <c r="F18" s="147"/>
      <c r="G18" s="147"/>
      <c r="H18" s="148"/>
      <c r="I18" s="316"/>
      <c r="J18" s="304">
        <f>SUM(J19:J24)</f>
        <v>3891</v>
      </c>
      <c r="K18" s="175">
        <f t="shared" ref="K18:AW18" si="9">SUM(K19:K24)</f>
        <v>108</v>
      </c>
      <c r="L18" s="175">
        <f t="shared" si="9"/>
        <v>3783</v>
      </c>
      <c r="M18" s="305">
        <f t="shared" si="9"/>
        <v>0</v>
      </c>
      <c r="N18" s="227"/>
      <c r="O18" s="304">
        <f t="shared" si="9"/>
        <v>108</v>
      </c>
      <c r="P18" s="175">
        <f t="shared" si="9"/>
        <v>0</v>
      </c>
      <c r="Q18" s="175">
        <f t="shared" si="9"/>
        <v>2821</v>
      </c>
      <c r="R18" s="175">
        <f t="shared" si="9"/>
        <v>0</v>
      </c>
      <c r="S18" s="175">
        <f t="shared" si="9"/>
        <v>0</v>
      </c>
      <c r="T18" s="175">
        <f t="shared" si="9"/>
        <v>0</v>
      </c>
      <c r="U18" s="175">
        <f t="shared" si="9"/>
        <v>2929</v>
      </c>
      <c r="V18" s="175">
        <f t="shared" si="9"/>
        <v>108</v>
      </c>
      <c r="W18" s="175">
        <f t="shared" si="9"/>
        <v>0</v>
      </c>
      <c r="X18" s="175">
        <f t="shared" si="9"/>
        <v>2821</v>
      </c>
      <c r="Y18" s="305">
        <f t="shared" si="9"/>
        <v>0</v>
      </c>
      <c r="Z18" s="227"/>
      <c r="AA18" s="304">
        <f t="shared" si="9"/>
        <v>0</v>
      </c>
      <c r="AB18" s="175">
        <f t="shared" si="9"/>
        <v>0</v>
      </c>
      <c r="AC18" s="175">
        <f t="shared" si="9"/>
        <v>962</v>
      </c>
      <c r="AD18" s="175">
        <f t="shared" si="9"/>
        <v>0</v>
      </c>
      <c r="AE18" s="175">
        <f t="shared" si="9"/>
        <v>0</v>
      </c>
      <c r="AF18" s="175">
        <f t="shared" si="9"/>
        <v>0</v>
      </c>
      <c r="AG18" s="175">
        <f t="shared" si="9"/>
        <v>962</v>
      </c>
      <c r="AH18" s="175">
        <f t="shared" si="9"/>
        <v>0</v>
      </c>
      <c r="AI18" s="175">
        <f t="shared" si="9"/>
        <v>0</v>
      </c>
      <c r="AJ18" s="175">
        <f t="shared" si="9"/>
        <v>962</v>
      </c>
      <c r="AK18" s="305">
        <f t="shared" si="9"/>
        <v>0</v>
      </c>
      <c r="AL18" s="227"/>
      <c r="AM18" s="304">
        <f t="shared" si="9"/>
        <v>0</v>
      </c>
      <c r="AN18" s="175">
        <f t="shared" si="9"/>
        <v>0</v>
      </c>
      <c r="AO18" s="175">
        <f t="shared" si="9"/>
        <v>0</v>
      </c>
      <c r="AP18" s="175">
        <f t="shared" si="9"/>
        <v>0</v>
      </c>
      <c r="AQ18" s="175">
        <f t="shared" si="9"/>
        <v>0</v>
      </c>
      <c r="AR18" s="175">
        <f t="shared" si="9"/>
        <v>0</v>
      </c>
      <c r="AS18" s="175">
        <f t="shared" si="9"/>
        <v>0</v>
      </c>
      <c r="AT18" s="175">
        <f t="shared" si="9"/>
        <v>0</v>
      </c>
      <c r="AU18" s="175">
        <f t="shared" si="9"/>
        <v>0</v>
      </c>
      <c r="AV18" s="175">
        <f t="shared" si="9"/>
        <v>0</v>
      </c>
      <c r="AW18" s="175">
        <f t="shared" si="9"/>
        <v>0</v>
      </c>
      <c r="AX18" s="74"/>
    </row>
    <row r="19" spans="1:50" ht="57" customHeight="1" x14ac:dyDescent="0.15">
      <c r="A19" s="8"/>
      <c r="B19" s="23" t="s">
        <v>210</v>
      </c>
      <c r="C19" s="23"/>
      <c r="D19" s="17" t="s">
        <v>293</v>
      </c>
      <c r="E19" s="17" t="s">
        <v>294</v>
      </c>
      <c r="F19" s="29" t="s">
        <v>7</v>
      </c>
      <c r="G19" s="29" t="s">
        <v>208</v>
      </c>
      <c r="H19" s="29" t="s">
        <v>23</v>
      </c>
      <c r="I19" s="187" t="s">
        <v>25</v>
      </c>
      <c r="J19" s="298">
        <f>3*5*13*9</f>
        <v>1755</v>
      </c>
      <c r="K19" s="29"/>
      <c r="L19" s="29">
        <f>J19</f>
        <v>1755</v>
      </c>
      <c r="M19" s="295"/>
      <c r="N19" s="227"/>
      <c r="O19" s="291"/>
      <c r="P19" s="79"/>
      <c r="Q19" s="78">
        <f>J19</f>
        <v>1755</v>
      </c>
      <c r="R19" s="79"/>
      <c r="S19" s="79"/>
      <c r="T19" s="79"/>
      <c r="U19" s="79">
        <f t="shared" ref="U19:U24" si="10">SUM(O19:T19)</f>
        <v>1755</v>
      </c>
      <c r="V19" s="79"/>
      <c r="W19" s="79"/>
      <c r="X19" s="79">
        <f>L19</f>
        <v>1755</v>
      </c>
      <c r="Y19" s="239"/>
      <c r="AA19" s="238"/>
      <c r="AB19" s="79"/>
      <c r="AC19" s="79"/>
      <c r="AD19" s="79"/>
      <c r="AE19" s="79"/>
      <c r="AF19" s="79"/>
      <c r="AG19" s="79">
        <f t="shared" ref="AG19:AG24" si="11">SUM(AA19:AF19)</f>
        <v>0</v>
      </c>
      <c r="AH19" s="79"/>
      <c r="AI19" s="79"/>
      <c r="AJ19" s="78"/>
      <c r="AK19" s="239"/>
      <c r="AM19" s="281"/>
      <c r="AN19" s="79"/>
      <c r="AO19" s="79"/>
      <c r="AP19" s="79"/>
      <c r="AQ19" s="79"/>
      <c r="AR19" s="79"/>
      <c r="AS19" s="79">
        <f t="shared" ref="AS19:AS24" si="12">SUM(AM19:AR19)</f>
        <v>0</v>
      </c>
      <c r="AT19" s="79"/>
      <c r="AU19" s="79"/>
      <c r="AV19" s="79"/>
      <c r="AW19" s="239"/>
    </row>
    <row r="20" spans="1:50" ht="42.75" customHeight="1" x14ac:dyDescent="0.15">
      <c r="A20" s="8"/>
      <c r="B20" s="23" t="s">
        <v>393</v>
      </c>
      <c r="C20" s="23"/>
      <c r="D20" s="17" t="s">
        <v>52</v>
      </c>
      <c r="E20" s="12" t="s">
        <v>295</v>
      </c>
      <c r="F20" s="29" t="s">
        <v>7</v>
      </c>
      <c r="G20" s="29" t="s">
        <v>208</v>
      </c>
      <c r="H20" s="29" t="s">
        <v>23</v>
      </c>
      <c r="I20" s="187" t="s">
        <v>109</v>
      </c>
      <c r="J20" s="317">
        <f>3*13*2*9</f>
        <v>702</v>
      </c>
      <c r="K20" s="29"/>
      <c r="L20" s="29">
        <f>J20</f>
        <v>702</v>
      </c>
      <c r="M20" s="295"/>
      <c r="N20" s="227"/>
      <c r="O20" s="238"/>
      <c r="P20" s="81"/>
      <c r="Q20" s="78">
        <f>J20/2</f>
        <v>351</v>
      </c>
      <c r="R20" s="78"/>
      <c r="S20" s="78"/>
      <c r="T20" s="78"/>
      <c r="U20" s="79">
        <f t="shared" si="10"/>
        <v>351</v>
      </c>
      <c r="V20" s="78"/>
      <c r="W20" s="78"/>
      <c r="X20" s="78">
        <f>U20</f>
        <v>351</v>
      </c>
      <c r="Y20" s="239"/>
      <c r="AA20" s="238"/>
      <c r="AB20" s="78"/>
      <c r="AC20" s="78">
        <f>Q20</f>
        <v>351</v>
      </c>
      <c r="AD20" s="78"/>
      <c r="AE20" s="78"/>
      <c r="AF20" s="78"/>
      <c r="AG20" s="79">
        <f t="shared" si="11"/>
        <v>351</v>
      </c>
      <c r="AH20" s="79"/>
      <c r="AI20" s="78"/>
      <c r="AJ20" s="78">
        <f>AG20</f>
        <v>351</v>
      </c>
      <c r="AK20" s="239"/>
      <c r="AM20" s="238"/>
      <c r="AN20" s="81"/>
      <c r="AO20" s="78"/>
      <c r="AP20" s="78"/>
      <c r="AQ20" s="78"/>
      <c r="AR20" s="78"/>
      <c r="AS20" s="79">
        <f t="shared" si="12"/>
        <v>0</v>
      </c>
      <c r="AT20" s="78"/>
      <c r="AU20" s="78"/>
      <c r="AV20" s="78"/>
      <c r="AW20" s="239"/>
    </row>
    <row r="21" spans="1:50" s="94" customFormat="1" ht="65.25" customHeight="1" x14ac:dyDescent="0.15">
      <c r="A21" s="8"/>
      <c r="B21" s="25" t="s">
        <v>394</v>
      </c>
      <c r="C21" s="25"/>
      <c r="D21" s="1" t="s">
        <v>53</v>
      </c>
      <c r="E21" s="12" t="s">
        <v>442</v>
      </c>
      <c r="F21" s="29" t="s">
        <v>7</v>
      </c>
      <c r="G21" s="29" t="s">
        <v>208</v>
      </c>
      <c r="H21" s="29" t="s">
        <v>23</v>
      </c>
      <c r="I21" s="187" t="s">
        <v>103</v>
      </c>
      <c r="J21" s="298">
        <f>4*13*2+120/2+96/2</f>
        <v>212</v>
      </c>
      <c r="K21" s="29">
        <f>J21-L21</f>
        <v>108</v>
      </c>
      <c r="L21" s="29">
        <f>4*13*2</f>
        <v>104</v>
      </c>
      <c r="M21" s="295"/>
      <c r="N21" s="227"/>
      <c r="O21" s="238">
        <f>K21</f>
        <v>108</v>
      </c>
      <c r="P21" s="78"/>
      <c r="Q21" s="78">
        <f>L21</f>
        <v>104</v>
      </c>
      <c r="R21" s="78"/>
      <c r="S21" s="78"/>
      <c r="T21" s="78"/>
      <c r="U21" s="79">
        <f t="shared" si="10"/>
        <v>212</v>
      </c>
      <c r="V21" s="78">
        <v>108</v>
      </c>
      <c r="W21" s="78"/>
      <c r="X21" s="78">
        <f>L21</f>
        <v>104</v>
      </c>
      <c r="Y21" s="240"/>
      <c r="Z21" s="80"/>
      <c r="AA21" s="238"/>
      <c r="AB21" s="78"/>
      <c r="AC21" s="78"/>
      <c r="AD21" s="78"/>
      <c r="AE21" s="78"/>
      <c r="AF21" s="78"/>
      <c r="AG21" s="78">
        <f t="shared" si="11"/>
        <v>0</v>
      </c>
      <c r="AH21" s="78"/>
      <c r="AI21" s="78"/>
      <c r="AJ21" s="78"/>
      <c r="AK21" s="240"/>
      <c r="AL21" s="74"/>
      <c r="AM21" s="238"/>
      <c r="AN21" s="78"/>
      <c r="AO21" s="78"/>
      <c r="AP21" s="78"/>
      <c r="AQ21" s="78"/>
      <c r="AR21" s="78"/>
      <c r="AS21" s="78">
        <f t="shared" si="12"/>
        <v>0</v>
      </c>
      <c r="AT21" s="78"/>
      <c r="AU21" s="78"/>
      <c r="AV21" s="78"/>
      <c r="AW21" s="240"/>
    </row>
    <row r="22" spans="1:50" ht="47.25" customHeight="1" x14ac:dyDescent="0.15">
      <c r="A22" s="8"/>
      <c r="B22" s="23" t="s">
        <v>354</v>
      </c>
      <c r="C22" s="23"/>
      <c r="D22" s="17" t="s">
        <v>55</v>
      </c>
      <c r="E22" s="12" t="s">
        <v>295</v>
      </c>
      <c r="F22" s="29" t="s">
        <v>7</v>
      </c>
      <c r="G22" s="29" t="s">
        <v>208</v>
      </c>
      <c r="H22" s="29" t="s">
        <v>264</v>
      </c>
      <c r="I22" s="187" t="s">
        <v>104</v>
      </c>
      <c r="J22" s="317">
        <f>3*13*2*9</f>
        <v>702</v>
      </c>
      <c r="K22" s="29"/>
      <c r="L22" s="29">
        <f>J22</f>
        <v>702</v>
      </c>
      <c r="M22" s="295"/>
      <c r="N22" s="227"/>
      <c r="O22" s="238"/>
      <c r="P22" s="78"/>
      <c r="Q22" s="78">
        <f>L22/2</f>
        <v>351</v>
      </c>
      <c r="R22" s="78"/>
      <c r="S22" s="78"/>
      <c r="T22" s="78"/>
      <c r="U22" s="79">
        <f t="shared" si="10"/>
        <v>351</v>
      </c>
      <c r="V22" s="78"/>
      <c r="W22" s="78"/>
      <c r="X22" s="78">
        <f>Q22</f>
        <v>351</v>
      </c>
      <c r="Y22" s="240"/>
      <c r="Z22" s="80"/>
      <c r="AA22" s="238"/>
      <c r="AB22" s="78"/>
      <c r="AC22" s="78">
        <f>X22</f>
        <v>351</v>
      </c>
      <c r="AD22" s="78"/>
      <c r="AE22" s="78"/>
      <c r="AF22" s="78"/>
      <c r="AG22" s="79">
        <f t="shared" si="11"/>
        <v>351</v>
      </c>
      <c r="AH22" s="78"/>
      <c r="AI22" s="78"/>
      <c r="AJ22" s="78">
        <f>AG22</f>
        <v>351</v>
      </c>
      <c r="AK22" s="240"/>
      <c r="AM22" s="238"/>
      <c r="AN22" s="78"/>
      <c r="AO22" s="93"/>
      <c r="AP22" s="78"/>
      <c r="AQ22" s="78"/>
      <c r="AR22" s="78"/>
      <c r="AS22" s="79">
        <f t="shared" si="12"/>
        <v>0</v>
      </c>
      <c r="AT22" s="78"/>
      <c r="AU22" s="78"/>
      <c r="AV22" s="78"/>
      <c r="AW22" s="240"/>
    </row>
    <row r="23" spans="1:50" ht="26" x14ac:dyDescent="0.15">
      <c r="A23" s="29"/>
      <c r="B23" s="7" t="s">
        <v>355</v>
      </c>
      <c r="C23" s="7"/>
      <c r="D23" s="7" t="s">
        <v>54</v>
      </c>
      <c r="E23" s="12" t="s">
        <v>405</v>
      </c>
      <c r="F23" s="29" t="s">
        <v>7</v>
      </c>
      <c r="G23" s="29" t="s">
        <v>208</v>
      </c>
      <c r="H23" s="29" t="s">
        <v>25</v>
      </c>
      <c r="I23" s="187" t="s">
        <v>104</v>
      </c>
      <c r="J23" s="298">
        <f>2*13*10</f>
        <v>260</v>
      </c>
      <c r="K23" s="29"/>
      <c r="L23" s="29">
        <f>J23</f>
        <v>260</v>
      </c>
      <c r="M23" s="295"/>
      <c r="N23" s="227"/>
      <c r="O23" s="286"/>
      <c r="P23" s="55"/>
      <c r="Q23" s="55">
        <f>J23/2</f>
        <v>130</v>
      </c>
      <c r="R23" s="55"/>
      <c r="S23" s="55"/>
      <c r="T23" s="55"/>
      <c r="U23" s="79">
        <f t="shared" si="10"/>
        <v>130</v>
      </c>
      <c r="V23" s="55"/>
      <c r="W23" s="55"/>
      <c r="X23" s="55">
        <f>U23</f>
        <v>130</v>
      </c>
      <c r="Y23" s="287"/>
      <c r="AA23" s="282"/>
      <c r="AB23" s="38"/>
      <c r="AC23" s="38">
        <f>Q23</f>
        <v>130</v>
      </c>
      <c r="AD23" s="38"/>
      <c r="AE23" s="38"/>
      <c r="AF23" s="38"/>
      <c r="AG23" s="79">
        <f t="shared" si="11"/>
        <v>130</v>
      </c>
      <c r="AH23" s="38"/>
      <c r="AI23" s="38"/>
      <c r="AJ23" s="38">
        <f>X23</f>
        <v>130</v>
      </c>
      <c r="AK23" s="283"/>
      <c r="AM23" s="282"/>
      <c r="AN23" s="38"/>
      <c r="AO23" s="38"/>
      <c r="AP23" s="38"/>
      <c r="AQ23" s="38"/>
      <c r="AR23" s="38"/>
      <c r="AS23" s="79">
        <f t="shared" si="12"/>
        <v>0</v>
      </c>
      <c r="AT23" s="38"/>
      <c r="AU23" s="38"/>
      <c r="AV23" s="38"/>
      <c r="AW23" s="283"/>
    </row>
    <row r="24" spans="1:50" ht="49.5" customHeight="1" x14ac:dyDescent="0.15">
      <c r="A24" s="8"/>
      <c r="B24" s="7" t="s">
        <v>438</v>
      </c>
      <c r="C24" s="7"/>
      <c r="D24" s="7" t="s">
        <v>211</v>
      </c>
      <c r="E24" s="12" t="s">
        <v>405</v>
      </c>
      <c r="F24" s="29" t="s">
        <v>7</v>
      </c>
      <c r="G24" s="29" t="s">
        <v>212</v>
      </c>
      <c r="H24" s="29" t="s">
        <v>25</v>
      </c>
      <c r="I24" s="187" t="s">
        <v>104</v>
      </c>
      <c r="J24" s="298">
        <f>2*13*10</f>
        <v>260</v>
      </c>
      <c r="K24" s="29"/>
      <c r="L24" s="29">
        <f>J24</f>
        <v>260</v>
      </c>
      <c r="M24" s="295"/>
      <c r="N24" s="227"/>
      <c r="O24" s="245"/>
      <c r="P24" s="81"/>
      <c r="Q24" s="55">
        <f>J24/2</f>
        <v>130</v>
      </c>
      <c r="R24" s="81"/>
      <c r="S24" s="81"/>
      <c r="T24" s="81"/>
      <c r="U24" s="79">
        <f t="shared" si="10"/>
        <v>130</v>
      </c>
      <c r="V24" s="81"/>
      <c r="W24" s="81"/>
      <c r="X24" s="55">
        <f>U24</f>
        <v>130</v>
      </c>
      <c r="Y24" s="257"/>
      <c r="AA24" s="243"/>
      <c r="AB24" s="82"/>
      <c r="AC24" s="82">
        <f>Q24</f>
        <v>130</v>
      </c>
      <c r="AD24" s="82"/>
      <c r="AE24" s="82"/>
      <c r="AF24" s="82"/>
      <c r="AG24" s="79">
        <f t="shared" si="11"/>
        <v>130</v>
      </c>
      <c r="AH24" s="81"/>
      <c r="AI24" s="81"/>
      <c r="AJ24" s="82">
        <f>AC24</f>
        <v>130</v>
      </c>
      <c r="AK24" s="244"/>
      <c r="AM24" s="243"/>
      <c r="AN24" s="82"/>
      <c r="AO24" s="82"/>
      <c r="AP24" s="82"/>
      <c r="AQ24" s="82"/>
      <c r="AR24" s="82"/>
      <c r="AS24" s="79">
        <f t="shared" si="12"/>
        <v>0</v>
      </c>
      <c r="AT24" s="82"/>
      <c r="AU24" s="81"/>
      <c r="AV24" s="81"/>
      <c r="AW24" s="244"/>
    </row>
    <row r="25" spans="1:50" s="92" customFormat="1" ht="46.5" customHeight="1" x14ac:dyDescent="0.15">
      <c r="A25" s="138"/>
      <c r="B25" s="155" t="s">
        <v>395</v>
      </c>
      <c r="C25" s="155"/>
      <c r="D25" s="170" t="s">
        <v>409</v>
      </c>
      <c r="E25" s="155"/>
      <c r="F25" s="138"/>
      <c r="G25" s="138"/>
      <c r="H25" s="138"/>
      <c r="I25" s="270"/>
      <c r="J25" s="279">
        <f>SUM(J26:J29)</f>
        <v>3573</v>
      </c>
      <c r="K25" s="176">
        <f t="shared" ref="K25:AW25" si="13">SUM(K26:K29)</f>
        <v>2806</v>
      </c>
      <c r="L25" s="176">
        <f t="shared" si="13"/>
        <v>767</v>
      </c>
      <c r="M25" s="280">
        <f t="shared" si="13"/>
        <v>0</v>
      </c>
      <c r="N25" s="227"/>
      <c r="O25" s="279">
        <f t="shared" si="13"/>
        <v>738</v>
      </c>
      <c r="P25" s="176">
        <f t="shared" si="13"/>
        <v>33</v>
      </c>
      <c r="Q25" s="176">
        <f t="shared" si="13"/>
        <v>507</v>
      </c>
      <c r="R25" s="176">
        <f t="shared" si="13"/>
        <v>0</v>
      </c>
      <c r="S25" s="176">
        <f t="shared" si="13"/>
        <v>0</v>
      </c>
      <c r="T25" s="176">
        <f t="shared" si="13"/>
        <v>0</v>
      </c>
      <c r="U25" s="176">
        <f t="shared" si="13"/>
        <v>1278</v>
      </c>
      <c r="V25" s="176">
        <f t="shared" si="13"/>
        <v>771</v>
      </c>
      <c r="W25" s="351">
        <f t="shared" si="13"/>
        <v>0</v>
      </c>
      <c r="X25" s="176">
        <f t="shared" si="13"/>
        <v>507</v>
      </c>
      <c r="Y25" s="280">
        <f t="shared" si="13"/>
        <v>0</v>
      </c>
      <c r="Z25" s="273"/>
      <c r="AA25" s="279">
        <f t="shared" si="13"/>
        <v>984</v>
      </c>
      <c r="AB25" s="176">
        <f t="shared" si="13"/>
        <v>33</v>
      </c>
      <c r="AC25" s="176">
        <f t="shared" si="13"/>
        <v>130</v>
      </c>
      <c r="AD25" s="176">
        <f t="shared" si="13"/>
        <v>0</v>
      </c>
      <c r="AE25" s="176">
        <f t="shared" si="13"/>
        <v>0</v>
      </c>
      <c r="AF25" s="176">
        <f t="shared" si="13"/>
        <v>0</v>
      </c>
      <c r="AG25" s="176">
        <f t="shared" si="13"/>
        <v>1147</v>
      </c>
      <c r="AH25" s="176">
        <f t="shared" si="13"/>
        <v>1017</v>
      </c>
      <c r="AI25" s="176">
        <f t="shared" si="13"/>
        <v>0</v>
      </c>
      <c r="AJ25" s="176">
        <f t="shared" si="13"/>
        <v>130</v>
      </c>
      <c r="AK25" s="280">
        <f t="shared" si="13"/>
        <v>0</v>
      </c>
      <c r="AL25" s="273"/>
      <c r="AM25" s="279">
        <f t="shared" si="13"/>
        <v>984</v>
      </c>
      <c r="AN25" s="176">
        <f t="shared" si="13"/>
        <v>34</v>
      </c>
      <c r="AO25" s="176">
        <f t="shared" si="13"/>
        <v>130</v>
      </c>
      <c r="AP25" s="176">
        <f t="shared" si="13"/>
        <v>0</v>
      </c>
      <c r="AQ25" s="176">
        <f t="shared" si="13"/>
        <v>0</v>
      </c>
      <c r="AR25" s="176">
        <f t="shared" si="13"/>
        <v>0</v>
      </c>
      <c r="AS25" s="176">
        <f t="shared" si="13"/>
        <v>1148</v>
      </c>
      <c r="AT25" s="176">
        <f t="shared" si="13"/>
        <v>1018</v>
      </c>
      <c r="AU25" s="176">
        <f t="shared" si="13"/>
        <v>0</v>
      </c>
      <c r="AV25" s="176">
        <f t="shared" si="13"/>
        <v>130</v>
      </c>
      <c r="AW25" s="351">
        <f t="shared" si="13"/>
        <v>0</v>
      </c>
    </row>
    <row r="26" spans="1:50" ht="77.25" customHeight="1" x14ac:dyDescent="0.15">
      <c r="A26" s="8"/>
      <c r="B26" s="20" t="s">
        <v>356</v>
      </c>
      <c r="C26" s="20"/>
      <c r="D26" s="7" t="s">
        <v>44</v>
      </c>
      <c r="E26" s="12" t="s">
        <v>301</v>
      </c>
      <c r="F26" s="29" t="s">
        <v>7</v>
      </c>
      <c r="G26" s="29" t="s">
        <v>88</v>
      </c>
      <c r="H26" s="29" t="s">
        <v>23</v>
      </c>
      <c r="I26" s="187" t="s">
        <v>25</v>
      </c>
      <c r="J26" s="298">
        <f>2*13*10</f>
        <v>260</v>
      </c>
      <c r="K26" s="29"/>
      <c r="L26" s="29">
        <f>J26</f>
        <v>260</v>
      </c>
      <c r="M26" s="295"/>
      <c r="N26" s="227"/>
      <c r="O26" s="238"/>
      <c r="P26" s="78"/>
      <c r="Q26" s="78">
        <f>J26</f>
        <v>260</v>
      </c>
      <c r="R26" s="78"/>
      <c r="S26" s="78"/>
      <c r="T26" s="78"/>
      <c r="U26" s="78">
        <f>SUM(O26:T26)</f>
        <v>260</v>
      </c>
      <c r="V26" s="78"/>
      <c r="W26" s="78"/>
      <c r="X26" s="78">
        <f>L26</f>
        <v>260</v>
      </c>
      <c r="Y26" s="240"/>
      <c r="AA26" s="238"/>
      <c r="AB26" s="78"/>
      <c r="AC26" s="78"/>
      <c r="AD26" s="78"/>
      <c r="AE26" s="78"/>
      <c r="AF26" s="78"/>
      <c r="AG26" s="78">
        <f>SUM(AA26:AF26)</f>
        <v>0</v>
      </c>
      <c r="AH26" s="78"/>
      <c r="AI26" s="78"/>
      <c r="AJ26" s="78"/>
      <c r="AK26" s="240"/>
      <c r="AM26" s="238"/>
      <c r="AN26" s="78"/>
      <c r="AO26" s="78"/>
      <c r="AP26" s="78"/>
      <c r="AQ26" s="78"/>
      <c r="AR26" s="78"/>
      <c r="AS26" s="78">
        <f>SUM(AM26:AR26)</f>
        <v>0</v>
      </c>
      <c r="AT26" s="78"/>
      <c r="AU26" s="78"/>
      <c r="AV26" s="78"/>
      <c r="AW26" s="240"/>
    </row>
    <row r="27" spans="1:50" ht="39" x14ac:dyDescent="0.15">
      <c r="A27" s="8"/>
      <c r="B27" s="20" t="s">
        <v>357</v>
      </c>
      <c r="C27" s="20"/>
      <c r="D27" s="7" t="s">
        <v>45</v>
      </c>
      <c r="E27" s="17" t="s">
        <v>402</v>
      </c>
      <c r="F27" s="29" t="s">
        <v>7</v>
      </c>
      <c r="G27" s="29" t="s">
        <v>213</v>
      </c>
      <c r="H27" s="29" t="s">
        <v>23</v>
      </c>
      <c r="I27" s="187" t="s">
        <v>103</v>
      </c>
      <c r="J27" s="317">
        <f>3*3*13</f>
        <v>117</v>
      </c>
      <c r="K27" s="29"/>
      <c r="L27" s="29">
        <f>J27</f>
        <v>117</v>
      </c>
      <c r="M27" s="295"/>
      <c r="N27" s="227"/>
      <c r="O27" s="238"/>
      <c r="P27" s="81"/>
      <c r="Q27" s="81">
        <f>L27</f>
        <v>117</v>
      </c>
      <c r="R27" s="81"/>
      <c r="S27" s="81"/>
      <c r="T27" s="81"/>
      <c r="U27" s="78">
        <f>SUM(O27:T27)</f>
        <v>117</v>
      </c>
      <c r="V27" s="81"/>
      <c r="W27" s="81"/>
      <c r="X27" s="81">
        <f>Q27</f>
        <v>117</v>
      </c>
      <c r="Y27" s="244"/>
      <c r="AA27" s="243"/>
      <c r="AB27" s="81"/>
      <c r="AC27" s="81"/>
      <c r="AD27" s="81"/>
      <c r="AE27" s="81"/>
      <c r="AF27" s="81"/>
      <c r="AG27" s="78">
        <f>SUM(AA27:AF27)</f>
        <v>0</v>
      </c>
      <c r="AH27" s="82"/>
      <c r="AI27" s="81"/>
      <c r="AJ27" s="81"/>
      <c r="AK27" s="244"/>
      <c r="AM27" s="243"/>
      <c r="AN27" s="82"/>
      <c r="AO27" s="81"/>
      <c r="AP27" s="81"/>
      <c r="AQ27" s="81"/>
      <c r="AR27" s="81"/>
      <c r="AS27" s="78">
        <f>SUM(AM27:AR27)</f>
        <v>0</v>
      </c>
      <c r="AT27" s="81"/>
      <c r="AU27" s="81"/>
      <c r="AV27" s="81"/>
      <c r="AW27" s="244"/>
    </row>
    <row r="28" spans="1:50" ht="69" customHeight="1" x14ac:dyDescent="0.15">
      <c r="A28" s="8"/>
      <c r="B28" s="41" t="s">
        <v>358</v>
      </c>
      <c r="C28" s="20"/>
      <c r="D28" s="7" t="s">
        <v>49</v>
      </c>
      <c r="E28" s="29" t="s">
        <v>265</v>
      </c>
      <c r="F28" s="29" t="s">
        <v>74</v>
      </c>
      <c r="G28" s="29" t="s">
        <v>208</v>
      </c>
      <c r="H28" s="29" t="s">
        <v>23</v>
      </c>
      <c r="I28" s="187" t="s">
        <v>12</v>
      </c>
      <c r="J28" s="317">
        <f>1*82*33+100</f>
        <v>2806</v>
      </c>
      <c r="K28" s="29">
        <f>J28</f>
        <v>2806</v>
      </c>
      <c r="L28" s="29"/>
      <c r="M28" s="295"/>
      <c r="N28" s="227"/>
      <c r="O28" s="245">
        <f>1*82*9</f>
        <v>738</v>
      </c>
      <c r="P28" s="81">
        <v>33</v>
      </c>
      <c r="Q28" s="81"/>
      <c r="R28" s="81"/>
      <c r="S28" s="81"/>
      <c r="T28" s="81"/>
      <c r="U28" s="78">
        <f>SUM(O28:T28)</f>
        <v>771</v>
      </c>
      <c r="V28" s="82">
        <f>U28</f>
        <v>771</v>
      </c>
      <c r="W28" s="81"/>
      <c r="X28" s="81"/>
      <c r="Y28" s="257"/>
      <c r="AA28" s="245">
        <f>82*12</f>
        <v>984</v>
      </c>
      <c r="AB28" s="81">
        <v>33</v>
      </c>
      <c r="AC28" s="81"/>
      <c r="AD28" s="81"/>
      <c r="AE28" s="81"/>
      <c r="AF28" s="81"/>
      <c r="AG28" s="78">
        <f>SUM(AA28:AF28)</f>
        <v>1017</v>
      </c>
      <c r="AH28" s="82">
        <f>AG28</f>
        <v>1017</v>
      </c>
      <c r="AI28" s="81"/>
      <c r="AJ28" s="81"/>
      <c r="AK28" s="257"/>
      <c r="AM28" s="245">
        <f>1*82*12</f>
        <v>984</v>
      </c>
      <c r="AN28" s="81">
        <v>34</v>
      </c>
      <c r="AO28" s="81"/>
      <c r="AP28" s="81"/>
      <c r="AQ28" s="81"/>
      <c r="AR28" s="81"/>
      <c r="AS28" s="78">
        <f>SUM(AM28:AR28)</f>
        <v>1018</v>
      </c>
      <c r="AT28" s="82">
        <f>AS28</f>
        <v>1018</v>
      </c>
      <c r="AU28" s="81"/>
      <c r="AV28" s="81"/>
      <c r="AW28" s="257"/>
    </row>
    <row r="29" spans="1:50" s="94" customFormat="1" ht="48.75" customHeight="1" x14ac:dyDescent="0.15">
      <c r="A29" s="8"/>
      <c r="B29" s="41" t="s">
        <v>359</v>
      </c>
      <c r="C29" s="41"/>
      <c r="D29" s="12" t="s">
        <v>50</v>
      </c>
      <c r="E29" s="12" t="s">
        <v>296</v>
      </c>
      <c r="F29" s="29" t="s">
        <v>74</v>
      </c>
      <c r="G29" s="29" t="s">
        <v>208</v>
      </c>
      <c r="H29" s="29" t="s">
        <v>23</v>
      </c>
      <c r="I29" s="187" t="s">
        <v>12</v>
      </c>
      <c r="J29" s="298">
        <f>2*13*15</f>
        <v>390</v>
      </c>
      <c r="K29" s="29"/>
      <c r="L29" s="29">
        <f>J29</f>
        <v>390</v>
      </c>
      <c r="M29" s="295"/>
      <c r="N29" s="227"/>
      <c r="O29" s="245"/>
      <c r="P29" s="81"/>
      <c r="Q29" s="81">
        <f>L29/3</f>
        <v>130</v>
      </c>
      <c r="R29" s="78"/>
      <c r="S29" s="81"/>
      <c r="T29" s="81"/>
      <c r="U29" s="78">
        <f>SUM(O29:T29)</f>
        <v>130</v>
      </c>
      <c r="V29" s="81"/>
      <c r="W29" s="81"/>
      <c r="X29" s="82">
        <f>U29</f>
        <v>130</v>
      </c>
      <c r="Y29" s="257"/>
      <c r="Z29" s="74"/>
      <c r="AA29" s="245"/>
      <c r="AB29" s="81"/>
      <c r="AC29" s="81">
        <f>Q29</f>
        <v>130</v>
      </c>
      <c r="AD29" s="78"/>
      <c r="AE29" s="81"/>
      <c r="AF29" s="82"/>
      <c r="AG29" s="78">
        <f>SUM(AA29:AF29)</f>
        <v>130</v>
      </c>
      <c r="AH29" s="82"/>
      <c r="AI29" s="81"/>
      <c r="AJ29" s="82">
        <f>AG29</f>
        <v>130</v>
      </c>
      <c r="AK29" s="244"/>
      <c r="AL29" s="74"/>
      <c r="AM29" s="245"/>
      <c r="AN29" s="81"/>
      <c r="AO29" s="82">
        <f>AC29</f>
        <v>130</v>
      </c>
      <c r="AP29" s="78"/>
      <c r="AQ29" s="81"/>
      <c r="AR29" s="81"/>
      <c r="AS29" s="78">
        <f>SUM(AM29:AR29)</f>
        <v>130</v>
      </c>
      <c r="AT29" s="81"/>
      <c r="AU29" s="81"/>
      <c r="AV29" s="82">
        <f>AS29</f>
        <v>130</v>
      </c>
      <c r="AW29" s="257"/>
    </row>
    <row r="30" spans="1:50" ht="40.5" customHeight="1" x14ac:dyDescent="0.15">
      <c r="A30" s="138"/>
      <c r="B30" s="155" t="s">
        <v>360</v>
      </c>
      <c r="C30" s="156"/>
      <c r="D30" s="157" t="s">
        <v>406</v>
      </c>
      <c r="E30" s="157"/>
      <c r="F30" s="158"/>
      <c r="G30" s="158"/>
      <c r="H30" s="158"/>
      <c r="I30" s="260"/>
      <c r="J30" s="279">
        <f>SUM(J31:J42)</f>
        <v>8717</v>
      </c>
      <c r="K30" s="176">
        <f>SUM(K31:K42)</f>
        <v>7277</v>
      </c>
      <c r="L30" s="176">
        <f>SUM(L31:L42)</f>
        <v>1440</v>
      </c>
      <c r="M30" s="280">
        <f>SUM(M31:M42)</f>
        <v>0</v>
      </c>
      <c r="N30" s="227"/>
      <c r="O30" s="279">
        <f t="shared" ref="O30:AW30" si="14">SUM(O31:O42)</f>
        <v>2259</v>
      </c>
      <c r="P30" s="176">
        <f t="shared" si="14"/>
        <v>300</v>
      </c>
      <c r="Q30" s="176">
        <f t="shared" si="14"/>
        <v>920</v>
      </c>
      <c r="R30" s="176">
        <f t="shared" si="14"/>
        <v>0</v>
      </c>
      <c r="S30" s="176">
        <f t="shared" si="14"/>
        <v>0</v>
      </c>
      <c r="T30" s="176">
        <f t="shared" si="14"/>
        <v>0</v>
      </c>
      <c r="U30" s="176">
        <f t="shared" si="14"/>
        <v>3479</v>
      </c>
      <c r="V30" s="176">
        <f t="shared" si="14"/>
        <v>2559</v>
      </c>
      <c r="W30" s="351">
        <f t="shared" si="14"/>
        <v>0</v>
      </c>
      <c r="X30" s="176">
        <f t="shared" si="14"/>
        <v>920</v>
      </c>
      <c r="Y30" s="280">
        <f t="shared" si="14"/>
        <v>0</v>
      </c>
      <c r="Z30" s="273"/>
      <c r="AA30" s="279">
        <f t="shared" si="14"/>
        <v>2259</v>
      </c>
      <c r="AB30" s="176">
        <f t="shared" si="14"/>
        <v>100</v>
      </c>
      <c r="AC30" s="176">
        <f t="shared" si="14"/>
        <v>520</v>
      </c>
      <c r="AD30" s="176">
        <f t="shared" si="14"/>
        <v>0</v>
      </c>
      <c r="AE30" s="176">
        <f t="shared" si="14"/>
        <v>0</v>
      </c>
      <c r="AF30" s="176">
        <f t="shared" si="14"/>
        <v>0</v>
      </c>
      <c r="AG30" s="176">
        <f t="shared" si="14"/>
        <v>2879</v>
      </c>
      <c r="AH30" s="176">
        <f t="shared" si="14"/>
        <v>2359</v>
      </c>
      <c r="AI30" s="176">
        <f t="shared" si="14"/>
        <v>0</v>
      </c>
      <c r="AJ30" s="176">
        <f t="shared" si="14"/>
        <v>520</v>
      </c>
      <c r="AK30" s="280">
        <f t="shared" si="14"/>
        <v>0</v>
      </c>
      <c r="AL30" s="273"/>
      <c r="AM30" s="279">
        <f t="shared" si="14"/>
        <v>2259</v>
      </c>
      <c r="AN30" s="176">
        <f t="shared" si="14"/>
        <v>100</v>
      </c>
      <c r="AO30" s="176">
        <f t="shared" si="14"/>
        <v>0</v>
      </c>
      <c r="AP30" s="176">
        <f t="shared" si="14"/>
        <v>0</v>
      </c>
      <c r="AQ30" s="176">
        <f t="shared" si="14"/>
        <v>0</v>
      </c>
      <c r="AR30" s="176">
        <f t="shared" si="14"/>
        <v>0</v>
      </c>
      <c r="AS30" s="176">
        <f t="shared" si="14"/>
        <v>2359</v>
      </c>
      <c r="AT30" s="176">
        <f t="shared" si="14"/>
        <v>2359</v>
      </c>
      <c r="AU30" s="176">
        <f t="shared" si="14"/>
        <v>0</v>
      </c>
      <c r="AV30" s="176">
        <f t="shared" si="14"/>
        <v>0</v>
      </c>
      <c r="AW30" s="351">
        <f t="shared" si="14"/>
        <v>0</v>
      </c>
    </row>
    <row r="31" spans="1:50" ht="36.75" customHeight="1" x14ac:dyDescent="0.15">
      <c r="A31" s="8"/>
      <c r="B31" s="102" t="s">
        <v>447</v>
      </c>
      <c r="C31" s="102"/>
      <c r="D31" s="1" t="s">
        <v>41</v>
      </c>
      <c r="E31" s="26" t="s">
        <v>266</v>
      </c>
      <c r="F31" s="29" t="s">
        <v>7</v>
      </c>
      <c r="G31" s="29" t="s">
        <v>88</v>
      </c>
      <c r="H31" s="29" t="s">
        <v>23</v>
      </c>
      <c r="I31" s="187" t="s">
        <v>25</v>
      </c>
      <c r="J31" s="298">
        <f>2*13*20</f>
        <v>520</v>
      </c>
      <c r="K31" s="29"/>
      <c r="L31" s="29">
        <f>J31</f>
        <v>520</v>
      </c>
      <c r="M31" s="295"/>
      <c r="N31" s="227"/>
      <c r="O31" s="238"/>
      <c r="P31" s="78"/>
      <c r="Q31" s="78">
        <f>J31/2</f>
        <v>260</v>
      </c>
      <c r="R31" s="78"/>
      <c r="S31" s="78"/>
      <c r="T31" s="78"/>
      <c r="U31" s="78">
        <f>SUM(O31:T31)</f>
        <v>260</v>
      </c>
      <c r="V31" s="78"/>
      <c r="W31" s="78"/>
      <c r="X31" s="78">
        <f>U31</f>
        <v>260</v>
      </c>
      <c r="Y31" s="240"/>
      <c r="AA31" s="238"/>
      <c r="AB31" s="78"/>
      <c r="AC31" s="78">
        <f>Q31</f>
        <v>260</v>
      </c>
      <c r="AD31" s="78"/>
      <c r="AE31" s="78"/>
      <c r="AF31" s="78"/>
      <c r="AG31" s="78">
        <f>SUM(AA31:AF31)</f>
        <v>260</v>
      </c>
      <c r="AH31" s="78"/>
      <c r="AI31" s="78"/>
      <c r="AJ31" s="78">
        <f>AG31</f>
        <v>260</v>
      </c>
      <c r="AK31" s="240"/>
      <c r="AM31" s="245"/>
      <c r="AN31" s="78"/>
      <c r="AO31" s="78"/>
      <c r="AP31" s="78"/>
      <c r="AQ31" s="78"/>
      <c r="AR31" s="78"/>
      <c r="AS31" s="78">
        <f>SUM(AM31:AR31)</f>
        <v>0</v>
      </c>
      <c r="AT31" s="78"/>
      <c r="AU31" s="78"/>
      <c r="AV31" s="78"/>
      <c r="AW31" s="240"/>
    </row>
    <row r="32" spans="1:50" ht="84.75" customHeight="1" x14ac:dyDescent="0.15">
      <c r="A32" s="8"/>
      <c r="B32" s="24" t="s">
        <v>226</v>
      </c>
      <c r="C32" s="24"/>
      <c r="D32" s="32" t="s">
        <v>111</v>
      </c>
      <c r="E32" s="7" t="s">
        <v>175</v>
      </c>
      <c r="F32" s="29" t="s">
        <v>7</v>
      </c>
      <c r="G32" s="29" t="s">
        <v>88</v>
      </c>
      <c r="H32" s="29" t="s">
        <v>25</v>
      </c>
      <c r="I32" s="187" t="s">
        <v>10</v>
      </c>
      <c r="J32" s="298">
        <f>4*50</f>
        <v>200</v>
      </c>
      <c r="K32" s="29">
        <f>J32</f>
        <v>200</v>
      </c>
      <c r="L32" s="29"/>
      <c r="M32" s="295"/>
      <c r="N32" s="227"/>
      <c r="O32" s="238"/>
      <c r="P32" s="78">
        <f>J32</f>
        <v>200</v>
      </c>
      <c r="Q32" s="78"/>
      <c r="R32" s="78"/>
      <c r="S32" s="78"/>
      <c r="T32" s="78"/>
      <c r="U32" s="78">
        <f t="shared" ref="U32:U42" si="15">SUM(O32:T32)</f>
        <v>200</v>
      </c>
      <c r="V32" s="78">
        <f>U32</f>
        <v>200</v>
      </c>
      <c r="W32" s="78"/>
      <c r="X32" s="78"/>
      <c r="Y32" s="240"/>
      <c r="AA32" s="238"/>
      <c r="AB32" s="78"/>
      <c r="AC32" s="78"/>
      <c r="AD32" s="78"/>
      <c r="AE32" s="78"/>
      <c r="AF32" s="78"/>
      <c r="AG32" s="78">
        <f t="shared" ref="AG32:AG42" si="16">SUM(AA32:AF32)</f>
        <v>0</v>
      </c>
      <c r="AH32" s="78"/>
      <c r="AI32" s="78"/>
      <c r="AJ32" s="78"/>
      <c r="AK32" s="240"/>
      <c r="AM32" s="238"/>
      <c r="AN32" s="78"/>
      <c r="AO32" s="78"/>
      <c r="AP32" s="78"/>
      <c r="AQ32" s="78"/>
      <c r="AR32" s="78"/>
      <c r="AS32" s="78">
        <f t="shared" ref="AS32:AS42" si="17">SUM(AM32:AR32)</f>
        <v>0</v>
      </c>
      <c r="AT32" s="78"/>
      <c r="AU32" s="78"/>
      <c r="AV32" s="78"/>
      <c r="AW32" s="240"/>
    </row>
    <row r="33" spans="1:49" ht="72" customHeight="1" x14ac:dyDescent="0.15">
      <c r="A33" s="8"/>
      <c r="B33" s="24" t="s">
        <v>396</v>
      </c>
      <c r="C33" s="24"/>
      <c r="D33" s="32" t="s">
        <v>39</v>
      </c>
      <c r="E33" s="26" t="s">
        <v>410</v>
      </c>
      <c r="F33" s="29" t="s">
        <v>7</v>
      </c>
      <c r="G33" s="29" t="s">
        <v>88</v>
      </c>
      <c r="H33" s="29" t="s">
        <v>23</v>
      </c>
      <c r="I33" s="187" t="s">
        <v>10</v>
      </c>
      <c r="J33" s="298">
        <f>2*5*20</f>
        <v>200</v>
      </c>
      <c r="K33" s="29"/>
      <c r="L33" s="29">
        <f>J33</f>
        <v>200</v>
      </c>
      <c r="M33" s="295"/>
      <c r="N33" s="227"/>
      <c r="O33" s="306"/>
      <c r="P33" s="35"/>
      <c r="Q33" s="55">
        <f>L33</f>
        <v>200</v>
      </c>
      <c r="R33" s="35"/>
      <c r="S33" s="35"/>
      <c r="T33" s="35"/>
      <c r="U33" s="78">
        <f t="shared" si="15"/>
        <v>200</v>
      </c>
      <c r="V33" s="35"/>
      <c r="W33" s="35"/>
      <c r="X33" s="55">
        <f>Q33</f>
        <v>200</v>
      </c>
      <c r="Y33" s="307"/>
      <c r="AA33" s="306"/>
      <c r="AB33" s="35"/>
      <c r="AC33" s="35"/>
      <c r="AD33" s="35"/>
      <c r="AE33" s="35"/>
      <c r="AF33" s="35"/>
      <c r="AG33" s="78">
        <f t="shared" si="16"/>
        <v>0</v>
      </c>
      <c r="AH33" s="35"/>
      <c r="AI33" s="35"/>
      <c r="AJ33" s="35"/>
      <c r="AK33" s="307"/>
      <c r="AM33" s="306"/>
      <c r="AN33" s="35"/>
      <c r="AO33" s="35"/>
      <c r="AP33" s="35"/>
      <c r="AQ33" s="35"/>
      <c r="AR33" s="35"/>
      <c r="AS33" s="78">
        <f t="shared" si="17"/>
        <v>0</v>
      </c>
      <c r="AT33" s="35"/>
      <c r="AU33" s="35"/>
      <c r="AV33" s="35"/>
      <c r="AW33" s="307"/>
    </row>
    <row r="34" spans="1:49" ht="39" x14ac:dyDescent="0.15">
      <c r="A34" s="8"/>
      <c r="B34" s="102" t="s">
        <v>361</v>
      </c>
      <c r="C34" s="102"/>
      <c r="D34" s="32" t="s">
        <v>38</v>
      </c>
      <c r="E34" s="26" t="s">
        <v>410</v>
      </c>
      <c r="F34" s="29" t="s">
        <v>7</v>
      </c>
      <c r="G34" s="29" t="s">
        <v>88</v>
      </c>
      <c r="H34" s="29" t="s">
        <v>23</v>
      </c>
      <c r="I34" s="187" t="s">
        <v>10</v>
      </c>
      <c r="J34" s="298">
        <f>2*5*20</f>
        <v>200</v>
      </c>
      <c r="K34" s="29"/>
      <c r="L34" s="29">
        <f>J34</f>
        <v>200</v>
      </c>
      <c r="M34" s="295"/>
      <c r="N34" s="227"/>
      <c r="O34" s="238"/>
      <c r="P34" s="81"/>
      <c r="Q34" s="55">
        <f>L34</f>
        <v>200</v>
      </c>
      <c r="R34" s="78"/>
      <c r="S34" s="78"/>
      <c r="T34" s="78"/>
      <c r="U34" s="78">
        <f t="shared" si="15"/>
        <v>200</v>
      </c>
      <c r="V34" s="78"/>
      <c r="W34" s="78"/>
      <c r="X34" s="55">
        <f>Q34</f>
        <v>200</v>
      </c>
      <c r="Y34" s="240"/>
      <c r="AA34" s="238"/>
      <c r="AB34" s="78"/>
      <c r="AC34" s="78"/>
      <c r="AD34" s="78"/>
      <c r="AE34" s="78"/>
      <c r="AF34" s="78"/>
      <c r="AG34" s="78">
        <f t="shared" si="16"/>
        <v>0</v>
      </c>
      <c r="AH34" s="78"/>
      <c r="AI34" s="78"/>
      <c r="AJ34" s="78"/>
      <c r="AK34" s="240"/>
      <c r="AM34" s="238"/>
      <c r="AN34" s="81"/>
      <c r="AO34" s="78"/>
      <c r="AP34" s="78"/>
      <c r="AQ34" s="78"/>
      <c r="AR34" s="78"/>
      <c r="AS34" s="78">
        <f t="shared" si="17"/>
        <v>0</v>
      </c>
      <c r="AT34" s="78"/>
      <c r="AU34" s="78"/>
      <c r="AV34" s="78"/>
      <c r="AW34" s="240"/>
    </row>
    <row r="35" spans="1:49" s="94" customFormat="1" ht="93.75" customHeight="1" x14ac:dyDescent="0.15">
      <c r="A35" s="8"/>
      <c r="B35" s="102" t="s">
        <v>112</v>
      </c>
      <c r="C35" s="102"/>
      <c r="D35" s="33" t="s">
        <v>40</v>
      </c>
      <c r="E35" s="33" t="s">
        <v>297</v>
      </c>
      <c r="F35" s="29" t="s">
        <v>80</v>
      </c>
      <c r="G35" s="29" t="s">
        <v>99</v>
      </c>
      <c r="H35" s="29" t="s">
        <v>23</v>
      </c>
      <c r="I35" s="187" t="s">
        <v>12</v>
      </c>
      <c r="J35" s="298">
        <f>(3*82*9+100*3)</f>
        <v>2514</v>
      </c>
      <c r="K35" s="29">
        <f>J35</f>
        <v>2514</v>
      </c>
      <c r="L35" s="29"/>
      <c r="M35" s="295"/>
      <c r="N35" s="227"/>
      <c r="O35" s="238">
        <f>82*9</f>
        <v>738</v>
      </c>
      <c r="P35" s="78">
        <v>100</v>
      </c>
      <c r="Q35" s="78"/>
      <c r="R35" s="78"/>
      <c r="S35" s="78"/>
      <c r="T35" s="78"/>
      <c r="U35" s="78">
        <f t="shared" si="15"/>
        <v>838</v>
      </c>
      <c r="V35" s="78">
        <f>U35</f>
        <v>838</v>
      </c>
      <c r="W35" s="78"/>
      <c r="X35" s="78"/>
      <c r="Y35" s="240"/>
      <c r="Z35" s="74"/>
      <c r="AA35" s="238">
        <f>O35</f>
        <v>738</v>
      </c>
      <c r="AB35" s="78">
        <v>100</v>
      </c>
      <c r="AC35" s="78"/>
      <c r="AD35" s="78"/>
      <c r="AE35" s="78"/>
      <c r="AF35" s="78"/>
      <c r="AG35" s="78">
        <f t="shared" si="16"/>
        <v>838</v>
      </c>
      <c r="AH35" s="78">
        <v>838</v>
      </c>
      <c r="AI35" s="78"/>
      <c r="AJ35" s="78"/>
      <c r="AK35" s="240"/>
      <c r="AL35" s="74"/>
      <c r="AM35" s="238">
        <f>AA35</f>
        <v>738</v>
      </c>
      <c r="AN35" s="78">
        <v>100</v>
      </c>
      <c r="AO35" s="78"/>
      <c r="AP35" s="78"/>
      <c r="AQ35" s="78"/>
      <c r="AR35" s="78"/>
      <c r="AS35" s="78">
        <f t="shared" si="17"/>
        <v>838</v>
      </c>
      <c r="AT35" s="78">
        <v>838</v>
      </c>
      <c r="AU35" s="78"/>
      <c r="AV35" s="78"/>
      <c r="AW35" s="240"/>
    </row>
    <row r="36" spans="1:49" ht="74.25" customHeight="1" x14ac:dyDescent="0.15">
      <c r="A36" s="8"/>
      <c r="B36" s="24" t="s">
        <v>42</v>
      </c>
      <c r="C36" s="24"/>
      <c r="D36" s="32" t="s">
        <v>397</v>
      </c>
      <c r="E36" s="33" t="s">
        <v>298</v>
      </c>
      <c r="F36" s="29" t="s">
        <v>80</v>
      </c>
      <c r="G36" s="29" t="s">
        <v>99</v>
      </c>
      <c r="H36" s="29" t="s">
        <v>23</v>
      </c>
      <c r="I36" s="187" t="s">
        <v>12</v>
      </c>
      <c r="J36" s="298">
        <f>5*6*62</f>
        <v>1860</v>
      </c>
      <c r="K36" s="29">
        <f>J36</f>
        <v>1860</v>
      </c>
      <c r="L36" s="29"/>
      <c r="M36" s="295"/>
      <c r="N36" s="227"/>
      <c r="O36" s="238">
        <f>J36/3</f>
        <v>620</v>
      </c>
      <c r="P36" s="78"/>
      <c r="Q36" s="78"/>
      <c r="R36" s="78"/>
      <c r="S36" s="78"/>
      <c r="T36" s="78"/>
      <c r="U36" s="78">
        <f t="shared" si="15"/>
        <v>620</v>
      </c>
      <c r="V36" s="78">
        <f>U36</f>
        <v>620</v>
      </c>
      <c r="W36" s="78"/>
      <c r="X36" s="78"/>
      <c r="Y36" s="240"/>
      <c r="AA36" s="238">
        <f>O36</f>
        <v>620</v>
      </c>
      <c r="AB36" s="78"/>
      <c r="AC36" s="78"/>
      <c r="AD36" s="78"/>
      <c r="AE36" s="78"/>
      <c r="AF36" s="78"/>
      <c r="AG36" s="78">
        <f t="shared" si="16"/>
        <v>620</v>
      </c>
      <c r="AH36" s="78">
        <v>620</v>
      </c>
      <c r="AI36" s="78"/>
      <c r="AJ36" s="78"/>
      <c r="AK36" s="240"/>
      <c r="AM36" s="238">
        <f>AA36</f>
        <v>620</v>
      </c>
      <c r="AN36" s="78"/>
      <c r="AO36" s="93"/>
      <c r="AP36" s="78"/>
      <c r="AQ36" s="78"/>
      <c r="AR36" s="78"/>
      <c r="AS36" s="78">
        <f t="shared" si="17"/>
        <v>620</v>
      </c>
      <c r="AT36" s="78">
        <v>620</v>
      </c>
      <c r="AU36" s="78"/>
      <c r="AV36" s="78"/>
      <c r="AW36" s="240"/>
    </row>
    <row r="37" spans="1:49" ht="71.25" customHeight="1" x14ac:dyDescent="0.15">
      <c r="A37" s="29"/>
      <c r="B37" s="24" t="s">
        <v>398</v>
      </c>
      <c r="C37" s="24"/>
      <c r="D37" s="32" t="s">
        <v>399</v>
      </c>
      <c r="E37" s="33" t="s">
        <v>299</v>
      </c>
      <c r="F37" s="29" t="s">
        <v>80</v>
      </c>
      <c r="G37" s="29" t="s">
        <v>99</v>
      </c>
      <c r="H37" s="29" t="s">
        <v>23</v>
      </c>
      <c r="I37" s="187" t="s">
        <v>12</v>
      </c>
      <c r="J37" s="298">
        <f>2*82*6</f>
        <v>984</v>
      </c>
      <c r="K37" s="103">
        <f>J37</f>
        <v>984</v>
      </c>
      <c r="L37" s="29"/>
      <c r="M37" s="295"/>
      <c r="N37" s="227"/>
      <c r="O37" s="286">
        <f>J37/3</f>
        <v>328</v>
      </c>
      <c r="P37" s="55"/>
      <c r="Q37" s="55"/>
      <c r="R37" s="55"/>
      <c r="S37" s="55"/>
      <c r="T37" s="55"/>
      <c r="U37" s="78">
        <f t="shared" si="15"/>
        <v>328</v>
      </c>
      <c r="V37" s="55">
        <v>328</v>
      </c>
      <c r="W37" s="55"/>
      <c r="X37" s="55"/>
      <c r="Y37" s="287"/>
      <c r="AA37" s="282">
        <f>O37</f>
        <v>328</v>
      </c>
      <c r="AB37" s="38"/>
      <c r="AC37" s="38"/>
      <c r="AD37" s="38"/>
      <c r="AE37" s="38"/>
      <c r="AF37" s="38"/>
      <c r="AG37" s="78">
        <f t="shared" si="16"/>
        <v>328</v>
      </c>
      <c r="AH37" s="38">
        <v>328</v>
      </c>
      <c r="AI37" s="38"/>
      <c r="AJ37" s="38"/>
      <c r="AK37" s="283"/>
      <c r="AM37" s="282">
        <f>AA37</f>
        <v>328</v>
      </c>
      <c r="AN37" s="38"/>
      <c r="AO37" s="38"/>
      <c r="AP37" s="38"/>
      <c r="AQ37" s="38"/>
      <c r="AR37" s="38"/>
      <c r="AS37" s="78">
        <f t="shared" si="17"/>
        <v>328</v>
      </c>
      <c r="AT37" s="38">
        <v>328</v>
      </c>
      <c r="AU37" s="38"/>
      <c r="AV37" s="38"/>
      <c r="AW37" s="283"/>
    </row>
    <row r="38" spans="1:49" ht="87" customHeight="1" x14ac:dyDescent="0.15">
      <c r="A38" s="136"/>
      <c r="B38" s="24" t="s">
        <v>43</v>
      </c>
      <c r="C38" s="24"/>
      <c r="D38" s="32" t="s">
        <v>340</v>
      </c>
      <c r="E38" s="32" t="s">
        <v>228</v>
      </c>
      <c r="F38" s="29" t="s">
        <v>177</v>
      </c>
      <c r="G38" s="29" t="s">
        <v>99</v>
      </c>
      <c r="H38" s="30" t="s">
        <v>109</v>
      </c>
      <c r="I38" s="195" t="s">
        <v>104</v>
      </c>
      <c r="J38" s="318">
        <f>13*20*1</f>
        <v>260</v>
      </c>
      <c r="K38" s="30"/>
      <c r="L38" s="319">
        <v>260</v>
      </c>
      <c r="M38" s="320"/>
      <c r="N38" s="227"/>
      <c r="O38" s="238"/>
      <c r="P38" s="78"/>
      <c r="Q38" s="81"/>
      <c r="R38" s="81"/>
      <c r="S38" s="81"/>
      <c r="T38" s="81"/>
      <c r="U38" s="78">
        <f t="shared" si="15"/>
        <v>0</v>
      </c>
      <c r="V38" s="82"/>
      <c r="W38" s="81"/>
      <c r="X38" s="81"/>
      <c r="Y38" s="244"/>
      <c r="AA38" s="245"/>
      <c r="AB38" s="78">
        <f>K38</f>
        <v>0</v>
      </c>
      <c r="AC38" s="81">
        <f>J38</f>
        <v>260</v>
      </c>
      <c r="AD38" s="81"/>
      <c r="AE38" s="81"/>
      <c r="AF38" s="81"/>
      <c r="AG38" s="78">
        <f t="shared" si="16"/>
        <v>260</v>
      </c>
      <c r="AH38" s="82"/>
      <c r="AI38" s="81"/>
      <c r="AJ38" s="81">
        <v>260</v>
      </c>
      <c r="AK38" s="244"/>
      <c r="AM38" s="245"/>
      <c r="AN38" s="78"/>
      <c r="AO38" s="81"/>
      <c r="AP38" s="81"/>
      <c r="AQ38" s="81"/>
      <c r="AR38" s="81"/>
      <c r="AS38" s="78">
        <f t="shared" si="17"/>
        <v>0</v>
      </c>
      <c r="AT38" s="82"/>
      <c r="AU38" s="81"/>
      <c r="AV38" s="81"/>
      <c r="AW38" s="244"/>
    </row>
    <row r="39" spans="1:49" ht="57" customHeight="1" x14ac:dyDescent="0.15">
      <c r="A39" s="8"/>
      <c r="B39" s="7" t="s">
        <v>451</v>
      </c>
      <c r="C39" s="7"/>
      <c r="D39" s="7" t="s">
        <v>400</v>
      </c>
      <c r="E39" s="32" t="s">
        <v>403</v>
      </c>
      <c r="F39" s="29" t="s">
        <v>177</v>
      </c>
      <c r="G39" s="29" t="s">
        <v>95</v>
      </c>
      <c r="H39" s="29" t="s">
        <v>21</v>
      </c>
      <c r="I39" s="187" t="s">
        <v>10</v>
      </c>
      <c r="J39" s="298"/>
      <c r="K39" s="29"/>
      <c r="L39" s="29"/>
      <c r="M39" s="295"/>
      <c r="N39" s="227">
        <f t="shared" ref="N39" si="18">U39+AG39+AS39</f>
        <v>0</v>
      </c>
      <c r="O39" s="238"/>
      <c r="P39" s="78"/>
      <c r="Q39" s="78"/>
      <c r="R39" s="78"/>
      <c r="S39" s="78"/>
      <c r="T39" s="78"/>
      <c r="U39" s="78">
        <f t="shared" si="15"/>
        <v>0</v>
      </c>
      <c r="V39" s="78"/>
      <c r="W39" s="78"/>
      <c r="X39" s="78"/>
      <c r="Y39" s="240"/>
      <c r="AA39" s="238"/>
      <c r="AB39" s="78"/>
      <c r="AC39" s="78"/>
      <c r="AD39" s="78"/>
      <c r="AE39" s="78"/>
      <c r="AF39" s="78"/>
      <c r="AG39" s="78">
        <f t="shared" si="16"/>
        <v>0</v>
      </c>
      <c r="AH39" s="78"/>
      <c r="AI39" s="78"/>
      <c r="AJ39" s="78"/>
      <c r="AK39" s="240"/>
      <c r="AM39" s="238"/>
      <c r="AN39" s="78"/>
      <c r="AO39" s="78"/>
      <c r="AP39" s="78"/>
      <c r="AQ39" s="78"/>
      <c r="AR39" s="78"/>
      <c r="AS39" s="78">
        <f t="shared" si="17"/>
        <v>0</v>
      </c>
      <c r="AT39" s="78"/>
      <c r="AU39" s="78"/>
      <c r="AV39" s="78"/>
      <c r="AW39" s="240"/>
    </row>
    <row r="40" spans="1:49" ht="45.75" customHeight="1" x14ac:dyDescent="0.15">
      <c r="A40" s="8"/>
      <c r="B40" s="7" t="s">
        <v>227</v>
      </c>
      <c r="C40" s="7"/>
      <c r="D40" s="7" t="s">
        <v>341</v>
      </c>
      <c r="E40" s="32" t="s">
        <v>300</v>
      </c>
      <c r="F40" s="29" t="s">
        <v>177</v>
      </c>
      <c r="G40" s="29" t="s">
        <v>95</v>
      </c>
      <c r="H40" s="29" t="s">
        <v>21</v>
      </c>
      <c r="I40" s="187" t="s">
        <v>10</v>
      </c>
      <c r="J40" s="318">
        <f>1*20*13</f>
        <v>260</v>
      </c>
      <c r="K40" s="29"/>
      <c r="L40" s="29">
        <f>J40</f>
        <v>260</v>
      </c>
      <c r="M40" s="295"/>
      <c r="N40" s="227"/>
      <c r="O40" s="238"/>
      <c r="P40" s="78"/>
      <c r="Q40" s="78">
        <f>J40</f>
        <v>260</v>
      </c>
      <c r="R40" s="78"/>
      <c r="S40" s="78"/>
      <c r="T40" s="78"/>
      <c r="U40" s="78">
        <f t="shared" si="15"/>
        <v>260</v>
      </c>
      <c r="V40" s="78"/>
      <c r="W40" s="78"/>
      <c r="X40" s="78">
        <f>L40</f>
        <v>260</v>
      </c>
      <c r="Y40" s="240"/>
      <c r="AA40" s="238"/>
      <c r="AB40" s="78"/>
      <c r="AC40" s="78"/>
      <c r="AD40" s="78"/>
      <c r="AE40" s="78"/>
      <c r="AF40" s="78"/>
      <c r="AG40" s="78">
        <f t="shared" si="16"/>
        <v>0</v>
      </c>
      <c r="AH40" s="78"/>
      <c r="AI40" s="78"/>
      <c r="AJ40" s="78"/>
      <c r="AK40" s="240"/>
      <c r="AM40" s="238"/>
      <c r="AN40" s="78"/>
      <c r="AO40" s="78"/>
      <c r="AP40" s="78"/>
      <c r="AQ40" s="78"/>
      <c r="AR40" s="78"/>
      <c r="AS40" s="78">
        <f t="shared" si="17"/>
        <v>0</v>
      </c>
      <c r="AT40" s="78"/>
      <c r="AU40" s="78"/>
      <c r="AV40" s="78"/>
      <c r="AW40" s="240"/>
    </row>
    <row r="41" spans="1:49" ht="60.75" customHeight="1" x14ac:dyDescent="0.15">
      <c r="A41" s="13"/>
      <c r="B41" s="7" t="s">
        <v>342</v>
      </c>
      <c r="C41" s="7"/>
      <c r="D41" s="7" t="s">
        <v>60</v>
      </c>
      <c r="E41" s="33" t="s">
        <v>299</v>
      </c>
      <c r="F41" s="29" t="s">
        <v>177</v>
      </c>
      <c r="G41" s="29" t="s">
        <v>95</v>
      </c>
      <c r="H41" s="13" t="s">
        <v>117</v>
      </c>
      <c r="I41" s="189" t="s">
        <v>12</v>
      </c>
      <c r="J41" s="298">
        <f>2*82*9</f>
        <v>1476</v>
      </c>
      <c r="K41" s="13">
        <f>J41</f>
        <v>1476</v>
      </c>
      <c r="L41" s="13"/>
      <c r="M41" s="321"/>
      <c r="N41" s="227"/>
      <c r="O41" s="308">
        <f>J41/3</f>
        <v>492</v>
      </c>
      <c r="P41" s="96"/>
      <c r="Q41" s="96"/>
      <c r="R41" s="96"/>
      <c r="S41" s="96"/>
      <c r="T41" s="96"/>
      <c r="U41" s="78">
        <f t="shared" si="15"/>
        <v>492</v>
      </c>
      <c r="V41" s="96">
        <f>U41</f>
        <v>492</v>
      </c>
      <c r="W41" s="96"/>
      <c r="X41" s="96"/>
      <c r="Y41" s="309"/>
      <c r="AA41" s="308">
        <f>O41</f>
        <v>492</v>
      </c>
      <c r="AB41" s="96"/>
      <c r="AC41" s="96"/>
      <c r="AD41" s="96"/>
      <c r="AE41" s="96"/>
      <c r="AF41" s="96"/>
      <c r="AG41" s="78">
        <f t="shared" si="16"/>
        <v>492</v>
      </c>
      <c r="AH41" s="96">
        <f>AG41</f>
        <v>492</v>
      </c>
      <c r="AI41" s="96"/>
      <c r="AJ41" s="96"/>
      <c r="AK41" s="309"/>
      <c r="AM41" s="308">
        <f>AA41</f>
        <v>492</v>
      </c>
      <c r="AN41" s="96"/>
      <c r="AO41" s="96"/>
      <c r="AP41" s="96"/>
      <c r="AQ41" s="96"/>
      <c r="AR41" s="96"/>
      <c r="AS41" s="78">
        <f t="shared" si="17"/>
        <v>492</v>
      </c>
      <c r="AT41" s="96">
        <f>AS41</f>
        <v>492</v>
      </c>
      <c r="AU41" s="96"/>
      <c r="AV41" s="96"/>
      <c r="AW41" s="309"/>
    </row>
    <row r="42" spans="1:49" ht="39" x14ac:dyDescent="0.15">
      <c r="A42" s="43"/>
      <c r="B42" s="7" t="s">
        <v>309</v>
      </c>
      <c r="C42" s="7"/>
      <c r="D42" s="7" t="s">
        <v>61</v>
      </c>
      <c r="E42" s="32" t="s">
        <v>176</v>
      </c>
      <c r="F42" s="29" t="s">
        <v>177</v>
      </c>
      <c r="G42" s="29" t="s">
        <v>95</v>
      </c>
      <c r="H42" s="13" t="s">
        <v>23</v>
      </c>
      <c r="I42" s="189" t="s">
        <v>12</v>
      </c>
      <c r="J42" s="298">
        <f>1*81*1*3</f>
        <v>243</v>
      </c>
      <c r="K42" s="13">
        <f>J42</f>
        <v>243</v>
      </c>
      <c r="L42" s="13"/>
      <c r="M42" s="321"/>
      <c r="N42" s="227"/>
      <c r="O42" s="238">
        <f>K42/3</f>
        <v>81</v>
      </c>
      <c r="P42" s="81"/>
      <c r="Q42" s="81"/>
      <c r="R42" s="81"/>
      <c r="S42" s="81"/>
      <c r="T42" s="81"/>
      <c r="U42" s="78">
        <f t="shared" si="15"/>
        <v>81</v>
      </c>
      <c r="V42" s="81">
        <v>81</v>
      </c>
      <c r="W42" s="81"/>
      <c r="X42" s="81"/>
      <c r="Y42" s="244"/>
      <c r="AA42" s="243">
        <f>O42</f>
        <v>81</v>
      </c>
      <c r="AB42" s="81"/>
      <c r="AC42" s="81"/>
      <c r="AD42" s="81"/>
      <c r="AE42" s="81"/>
      <c r="AF42" s="81"/>
      <c r="AG42" s="78">
        <f t="shared" si="16"/>
        <v>81</v>
      </c>
      <c r="AH42" s="82">
        <v>81</v>
      </c>
      <c r="AI42" s="81"/>
      <c r="AJ42" s="81"/>
      <c r="AK42" s="244"/>
      <c r="AM42" s="243">
        <f>AA42</f>
        <v>81</v>
      </c>
      <c r="AN42" s="82"/>
      <c r="AO42" s="81"/>
      <c r="AP42" s="81"/>
      <c r="AQ42" s="81"/>
      <c r="AR42" s="81"/>
      <c r="AS42" s="78">
        <f t="shared" si="17"/>
        <v>81</v>
      </c>
      <c r="AT42" s="81">
        <v>81</v>
      </c>
      <c r="AU42" s="81"/>
      <c r="AV42" s="81"/>
      <c r="AW42" s="244"/>
    </row>
    <row r="43" spans="1:49" s="2" customFormat="1" ht="31.5" customHeight="1" x14ac:dyDescent="0.2">
      <c r="A43" s="138"/>
      <c r="B43" s="159" t="s">
        <v>362</v>
      </c>
      <c r="C43" s="159"/>
      <c r="D43" s="160" t="s">
        <v>407</v>
      </c>
      <c r="E43" s="158"/>
      <c r="F43" s="158"/>
      <c r="G43" s="158"/>
      <c r="H43" s="158"/>
      <c r="I43" s="260"/>
      <c r="J43" s="279">
        <f>SUM(J44:J57)</f>
        <v>15482</v>
      </c>
      <c r="K43" s="176">
        <f>SUM(K44:K57)</f>
        <v>15222</v>
      </c>
      <c r="L43" s="176">
        <f>SUM(L44:L57)</f>
        <v>260</v>
      </c>
      <c r="M43" s="280">
        <f>SUM(M44:M57)</f>
        <v>0</v>
      </c>
      <c r="N43" s="227"/>
      <c r="O43" s="279">
        <f t="shared" ref="O43:AW43" si="19">SUM(O44:O57)</f>
        <v>7672</v>
      </c>
      <c r="P43" s="176">
        <f t="shared" si="19"/>
        <v>100</v>
      </c>
      <c r="Q43" s="176">
        <f t="shared" si="19"/>
        <v>260</v>
      </c>
      <c r="R43" s="176">
        <f t="shared" si="19"/>
        <v>0</v>
      </c>
      <c r="S43" s="176">
        <f t="shared" si="19"/>
        <v>0</v>
      </c>
      <c r="T43" s="176">
        <f t="shared" si="19"/>
        <v>0</v>
      </c>
      <c r="U43" s="176">
        <f t="shared" si="19"/>
        <v>8032</v>
      </c>
      <c r="V43" s="176">
        <f t="shared" si="19"/>
        <v>7772</v>
      </c>
      <c r="W43" s="351">
        <f t="shared" si="19"/>
        <v>0</v>
      </c>
      <c r="X43" s="176">
        <f t="shared" si="19"/>
        <v>260</v>
      </c>
      <c r="Y43" s="280">
        <f t="shared" si="19"/>
        <v>0</v>
      </c>
      <c r="Z43" s="273"/>
      <c r="AA43" s="279">
        <f t="shared" si="19"/>
        <v>4240</v>
      </c>
      <c r="AB43" s="176">
        <f t="shared" si="19"/>
        <v>100</v>
      </c>
      <c r="AC43" s="176">
        <f t="shared" si="19"/>
        <v>0</v>
      </c>
      <c r="AD43" s="176">
        <f t="shared" si="19"/>
        <v>0</v>
      </c>
      <c r="AE43" s="176">
        <f t="shared" si="19"/>
        <v>0</v>
      </c>
      <c r="AF43" s="176">
        <f t="shared" si="19"/>
        <v>0</v>
      </c>
      <c r="AG43" s="176">
        <f t="shared" si="19"/>
        <v>4340</v>
      </c>
      <c r="AH43" s="176">
        <f t="shared" si="19"/>
        <v>4340</v>
      </c>
      <c r="AI43" s="176">
        <f t="shared" si="19"/>
        <v>0</v>
      </c>
      <c r="AJ43" s="176">
        <f t="shared" si="19"/>
        <v>0</v>
      </c>
      <c r="AK43" s="280">
        <f t="shared" si="19"/>
        <v>0</v>
      </c>
      <c r="AL43" s="273"/>
      <c r="AM43" s="279">
        <f t="shared" si="19"/>
        <v>3010</v>
      </c>
      <c r="AN43" s="176">
        <f t="shared" si="19"/>
        <v>100</v>
      </c>
      <c r="AO43" s="176">
        <f t="shared" si="19"/>
        <v>0</v>
      </c>
      <c r="AP43" s="176">
        <f t="shared" si="19"/>
        <v>0</v>
      </c>
      <c r="AQ43" s="176">
        <f t="shared" si="19"/>
        <v>0</v>
      </c>
      <c r="AR43" s="176">
        <f t="shared" si="19"/>
        <v>0</v>
      </c>
      <c r="AS43" s="176">
        <f t="shared" si="19"/>
        <v>3110</v>
      </c>
      <c r="AT43" s="176">
        <f t="shared" si="19"/>
        <v>3110</v>
      </c>
      <c r="AU43" s="176">
        <f t="shared" si="19"/>
        <v>0</v>
      </c>
      <c r="AV43" s="176">
        <f t="shared" si="19"/>
        <v>0</v>
      </c>
      <c r="AW43" s="351">
        <f t="shared" si="19"/>
        <v>0</v>
      </c>
    </row>
    <row r="44" spans="1:49" ht="92.25" customHeight="1" x14ac:dyDescent="0.15">
      <c r="A44" s="8"/>
      <c r="B44" s="20" t="s">
        <v>345</v>
      </c>
      <c r="C44" s="20"/>
      <c r="D44" s="7" t="s">
        <v>75</v>
      </c>
      <c r="E44" s="33" t="s">
        <v>179</v>
      </c>
      <c r="F44" s="29" t="s">
        <v>7</v>
      </c>
      <c r="G44" s="29" t="s">
        <v>94</v>
      </c>
      <c r="H44" s="29" t="s">
        <v>23</v>
      </c>
      <c r="I44" s="187" t="s">
        <v>108</v>
      </c>
      <c r="J44" s="317">
        <f>1*6*82*5</f>
        <v>2460</v>
      </c>
      <c r="K44" s="29">
        <f>J44</f>
        <v>2460</v>
      </c>
      <c r="L44" s="29"/>
      <c r="M44" s="295"/>
      <c r="N44" s="227"/>
      <c r="O44" s="238">
        <f>J44/2</f>
        <v>1230</v>
      </c>
      <c r="P44" s="78"/>
      <c r="Q44" s="78"/>
      <c r="R44" s="78"/>
      <c r="S44" s="78"/>
      <c r="T44" s="78"/>
      <c r="U44" s="78">
        <f>SUM(O44:T44)</f>
        <v>1230</v>
      </c>
      <c r="V44" s="78">
        <f>U44</f>
        <v>1230</v>
      </c>
      <c r="W44" s="78"/>
      <c r="X44" s="78"/>
      <c r="Y44" s="240"/>
      <c r="AA44" s="238">
        <f>O44</f>
        <v>1230</v>
      </c>
      <c r="AB44" s="78"/>
      <c r="AC44" s="78"/>
      <c r="AD44" s="78"/>
      <c r="AE44" s="78"/>
      <c r="AF44" s="78"/>
      <c r="AG44" s="78">
        <f>SUM(AA44:AF44)</f>
        <v>1230</v>
      </c>
      <c r="AH44" s="78">
        <f>AG44</f>
        <v>1230</v>
      </c>
      <c r="AI44" s="78"/>
      <c r="AJ44" s="78"/>
      <c r="AK44" s="240"/>
      <c r="AM44" s="245"/>
      <c r="AN44" s="78"/>
      <c r="AO44" s="78"/>
      <c r="AP44" s="78"/>
      <c r="AQ44" s="78"/>
      <c r="AR44" s="78"/>
      <c r="AS44" s="78">
        <f>SUM(AM44:AR44)</f>
        <v>0</v>
      </c>
      <c r="AT44" s="78"/>
      <c r="AU44" s="78"/>
      <c r="AV44" s="78"/>
      <c r="AW44" s="240"/>
    </row>
    <row r="45" spans="1:49" ht="96.75" customHeight="1" x14ac:dyDescent="0.15">
      <c r="A45" s="8"/>
      <c r="B45" s="7" t="s">
        <v>401</v>
      </c>
      <c r="C45" s="7"/>
      <c r="D45" s="32" t="s">
        <v>343</v>
      </c>
      <c r="E45" s="33" t="s">
        <v>179</v>
      </c>
      <c r="F45" s="29" t="s">
        <v>7</v>
      </c>
      <c r="G45" s="29" t="s">
        <v>88</v>
      </c>
      <c r="H45" s="29" t="s">
        <v>109</v>
      </c>
      <c r="I45" s="187" t="s">
        <v>12</v>
      </c>
      <c r="J45" s="298">
        <f>1*6*82*5</f>
        <v>2460</v>
      </c>
      <c r="K45" s="29">
        <f>J45</f>
        <v>2460</v>
      </c>
      <c r="L45" s="29"/>
      <c r="M45" s="295"/>
      <c r="N45" s="227"/>
      <c r="O45" s="238">
        <f>K45</f>
        <v>2460</v>
      </c>
      <c r="P45" s="81"/>
      <c r="Q45" s="78"/>
      <c r="R45" s="78"/>
      <c r="S45" s="78"/>
      <c r="T45" s="78"/>
      <c r="U45" s="78">
        <f t="shared" ref="U45:U57" si="20">SUM(O45:T45)</f>
        <v>2460</v>
      </c>
      <c r="V45" s="78">
        <f>U45</f>
        <v>2460</v>
      </c>
      <c r="W45" s="78"/>
      <c r="X45" s="78"/>
      <c r="Y45" s="240"/>
      <c r="AA45" s="238"/>
      <c r="AB45" s="78"/>
      <c r="AC45" s="78"/>
      <c r="AD45" s="78"/>
      <c r="AE45" s="78"/>
      <c r="AF45" s="78"/>
      <c r="AG45" s="78">
        <f t="shared" ref="AG45:AG57" si="21">SUM(AA45:AF45)</f>
        <v>0</v>
      </c>
      <c r="AH45" s="78"/>
      <c r="AI45" s="78"/>
      <c r="AJ45" s="78"/>
      <c r="AK45" s="240"/>
      <c r="AM45" s="238"/>
      <c r="AN45" s="81"/>
      <c r="AO45" s="78"/>
      <c r="AP45" s="78"/>
      <c r="AQ45" s="78"/>
      <c r="AR45" s="78"/>
      <c r="AS45" s="78">
        <f t="shared" ref="AS45:AS57" si="22">SUM(AM45:AR45)</f>
        <v>0</v>
      </c>
      <c r="AT45" s="78"/>
      <c r="AU45" s="78"/>
      <c r="AV45" s="78"/>
      <c r="AW45" s="240"/>
    </row>
    <row r="46" spans="1:49" ht="46.5" customHeight="1" x14ac:dyDescent="0.15">
      <c r="A46" s="8"/>
      <c r="B46" s="7" t="s">
        <v>318</v>
      </c>
      <c r="C46" s="7"/>
      <c r="D46" s="32" t="s">
        <v>27</v>
      </c>
      <c r="E46" s="26" t="s">
        <v>303</v>
      </c>
      <c r="F46" s="29" t="s">
        <v>7</v>
      </c>
      <c r="G46" s="29" t="s">
        <v>88</v>
      </c>
      <c r="H46" s="29" t="s">
        <v>21</v>
      </c>
      <c r="I46" s="187" t="s">
        <v>25</v>
      </c>
      <c r="J46" s="298">
        <f>1*20*13</f>
        <v>260</v>
      </c>
      <c r="K46" s="29"/>
      <c r="L46" s="29">
        <f>J46</f>
        <v>260</v>
      </c>
      <c r="M46" s="295"/>
      <c r="N46" s="227"/>
      <c r="O46" s="238"/>
      <c r="P46" s="78"/>
      <c r="Q46" s="78">
        <v>260</v>
      </c>
      <c r="R46" s="78"/>
      <c r="S46" s="78"/>
      <c r="T46" s="78"/>
      <c r="U46" s="78">
        <f t="shared" si="20"/>
        <v>260</v>
      </c>
      <c r="V46" s="78"/>
      <c r="W46" s="78"/>
      <c r="X46" s="78">
        <f>L46</f>
        <v>260</v>
      </c>
      <c r="Y46" s="240"/>
      <c r="AA46" s="238"/>
      <c r="AB46" s="78"/>
      <c r="AC46" s="78"/>
      <c r="AD46" s="78"/>
      <c r="AE46" s="78"/>
      <c r="AF46" s="78"/>
      <c r="AG46" s="78">
        <f t="shared" si="21"/>
        <v>0</v>
      </c>
      <c r="AH46" s="78"/>
      <c r="AI46" s="78"/>
      <c r="AJ46" s="78"/>
      <c r="AK46" s="240"/>
      <c r="AM46" s="238"/>
      <c r="AN46" s="78"/>
      <c r="AO46" s="78"/>
      <c r="AP46" s="78"/>
      <c r="AQ46" s="78"/>
      <c r="AR46" s="78"/>
      <c r="AS46" s="78">
        <f t="shared" si="22"/>
        <v>0</v>
      </c>
      <c r="AT46" s="78"/>
      <c r="AU46" s="78"/>
      <c r="AV46" s="78"/>
      <c r="AW46" s="240"/>
    </row>
    <row r="47" spans="1:49" ht="59.25" customHeight="1" x14ac:dyDescent="0.15">
      <c r="A47" s="8"/>
      <c r="B47" s="12" t="s">
        <v>214</v>
      </c>
      <c r="C47" s="12"/>
      <c r="D47" s="32" t="s">
        <v>37</v>
      </c>
      <c r="E47" s="33" t="s">
        <v>180</v>
      </c>
      <c r="F47" s="29" t="s">
        <v>35</v>
      </c>
      <c r="G47" s="29" t="s">
        <v>101</v>
      </c>
      <c r="H47" s="29" t="s">
        <v>23</v>
      </c>
      <c r="I47" s="187" t="s">
        <v>26</v>
      </c>
      <c r="J47" s="298">
        <f>1*81*12</f>
        <v>972</v>
      </c>
      <c r="K47" s="29">
        <f>J47</f>
        <v>972</v>
      </c>
      <c r="L47" s="29"/>
      <c r="M47" s="295"/>
      <c r="N47" s="227"/>
      <c r="O47" s="306">
        <f>K47</f>
        <v>972</v>
      </c>
      <c r="P47" s="35"/>
      <c r="Q47" s="35"/>
      <c r="R47" s="35"/>
      <c r="S47" s="35"/>
      <c r="T47" s="35"/>
      <c r="U47" s="78">
        <f t="shared" si="20"/>
        <v>972</v>
      </c>
      <c r="V47" s="55">
        <f>U47</f>
        <v>972</v>
      </c>
      <c r="W47" s="35"/>
      <c r="X47" s="35"/>
      <c r="Y47" s="307"/>
      <c r="AA47" s="306"/>
      <c r="AB47" s="35"/>
      <c r="AC47" s="35"/>
      <c r="AD47" s="35"/>
      <c r="AE47" s="35"/>
      <c r="AF47" s="35"/>
      <c r="AG47" s="78">
        <f t="shared" si="21"/>
        <v>0</v>
      </c>
      <c r="AH47" s="35"/>
      <c r="AI47" s="35"/>
      <c r="AJ47" s="35"/>
      <c r="AK47" s="307"/>
      <c r="AM47" s="306"/>
      <c r="AN47" s="35"/>
      <c r="AO47" s="35"/>
      <c r="AP47" s="35"/>
      <c r="AQ47" s="35"/>
      <c r="AR47" s="35"/>
      <c r="AS47" s="78">
        <f t="shared" si="22"/>
        <v>0</v>
      </c>
      <c r="AT47" s="35"/>
      <c r="AU47" s="35"/>
      <c r="AV47" s="35"/>
      <c r="AW47" s="307"/>
    </row>
    <row r="48" spans="1:49" ht="42.75" customHeight="1" x14ac:dyDescent="0.15">
      <c r="A48" s="136"/>
      <c r="B48" s="7" t="s">
        <v>127</v>
      </c>
      <c r="C48" s="7"/>
      <c r="D48" s="32" t="s">
        <v>29</v>
      </c>
      <c r="E48" s="32" t="s">
        <v>411</v>
      </c>
      <c r="F48" s="30" t="s">
        <v>74</v>
      </c>
      <c r="G48" s="29" t="s">
        <v>88</v>
      </c>
      <c r="H48" s="30" t="s">
        <v>23</v>
      </c>
      <c r="I48" s="195" t="s">
        <v>12</v>
      </c>
      <c r="J48" s="318">
        <f>2*70*3</f>
        <v>420</v>
      </c>
      <c r="K48" s="30">
        <f>J48</f>
        <v>420</v>
      </c>
      <c r="L48" s="30"/>
      <c r="M48" s="320"/>
      <c r="N48" s="227"/>
      <c r="O48" s="238">
        <f>K48/3</f>
        <v>140</v>
      </c>
      <c r="P48" s="78"/>
      <c r="Q48" s="78"/>
      <c r="R48" s="78"/>
      <c r="S48" s="78"/>
      <c r="T48" s="78"/>
      <c r="U48" s="78">
        <f t="shared" si="20"/>
        <v>140</v>
      </c>
      <c r="V48" s="78">
        <f>U48</f>
        <v>140</v>
      </c>
      <c r="W48" s="78"/>
      <c r="X48" s="78"/>
      <c r="Y48" s="240"/>
      <c r="AA48" s="238">
        <f>O48</f>
        <v>140</v>
      </c>
      <c r="AB48" s="78"/>
      <c r="AC48" s="78"/>
      <c r="AD48" s="78"/>
      <c r="AE48" s="78"/>
      <c r="AF48" s="78"/>
      <c r="AG48" s="78">
        <f t="shared" si="21"/>
        <v>140</v>
      </c>
      <c r="AH48" s="78">
        <f>AG48</f>
        <v>140</v>
      </c>
      <c r="AI48" s="78"/>
      <c r="AJ48" s="78"/>
      <c r="AK48" s="240"/>
      <c r="AM48" s="238">
        <f>AA48</f>
        <v>140</v>
      </c>
      <c r="AN48" s="78"/>
      <c r="AO48" s="78"/>
      <c r="AP48" s="78"/>
      <c r="AQ48" s="78"/>
      <c r="AR48" s="78"/>
      <c r="AS48" s="78">
        <f t="shared" si="22"/>
        <v>140</v>
      </c>
      <c r="AT48" s="78">
        <f>AS48</f>
        <v>140</v>
      </c>
      <c r="AU48" s="78"/>
      <c r="AV48" s="78"/>
      <c r="AW48" s="240"/>
    </row>
    <row r="49" spans="1:49" s="94" customFormat="1" ht="70.5" customHeight="1" x14ac:dyDescent="0.15">
      <c r="A49" s="8"/>
      <c r="B49" s="12" t="s">
        <v>128</v>
      </c>
      <c r="C49" s="12"/>
      <c r="D49" s="33" t="s">
        <v>30</v>
      </c>
      <c r="E49" s="32" t="s">
        <v>411</v>
      </c>
      <c r="F49" s="29" t="s">
        <v>74</v>
      </c>
      <c r="G49" s="29" t="s">
        <v>144</v>
      </c>
      <c r="H49" s="29" t="s">
        <v>23</v>
      </c>
      <c r="I49" s="187" t="s">
        <v>12</v>
      </c>
      <c r="J49" s="298">
        <f>2*70*3</f>
        <v>420</v>
      </c>
      <c r="K49" s="29">
        <f>J49</f>
        <v>420</v>
      </c>
      <c r="L49" s="29"/>
      <c r="M49" s="295"/>
      <c r="N49" s="227"/>
      <c r="O49" s="238">
        <f t="shared" ref="O49:O56" si="23">K49/3</f>
        <v>140</v>
      </c>
      <c r="P49" s="78"/>
      <c r="Q49" s="78"/>
      <c r="R49" s="78"/>
      <c r="S49" s="78"/>
      <c r="T49" s="78"/>
      <c r="U49" s="78">
        <f t="shared" si="20"/>
        <v>140</v>
      </c>
      <c r="V49" s="78">
        <f t="shared" ref="V49:V56" si="24">U49</f>
        <v>140</v>
      </c>
      <c r="W49" s="78"/>
      <c r="X49" s="78"/>
      <c r="Y49" s="240"/>
      <c r="Z49" s="74"/>
      <c r="AA49" s="238">
        <f t="shared" ref="AA49:AA56" si="25">O49</f>
        <v>140</v>
      </c>
      <c r="AB49" s="78"/>
      <c r="AC49" s="78"/>
      <c r="AD49" s="78"/>
      <c r="AE49" s="78"/>
      <c r="AF49" s="78"/>
      <c r="AG49" s="78">
        <f t="shared" si="21"/>
        <v>140</v>
      </c>
      <c r="AH49" s="78">
        <f t="shared" ref="AH49:AH56" si="26">AG49</f>
        <v>140</v>
      </c>
      <c r="AI49" s="78"/>
      <c r="AJ49" s="78"/>
      <c r="AK49" s="240"/>
      <c r="AL49" s="74"/>
      <c r="AM49" s="238">
        <f t="shared" ref="AM49:AM56" si="27">AA49</f>
        <v>140</v>
      </c>
      <c r="AN49" s="78"/>
      <c r="AO49" s="93"/>
      <c r="AP49" s="78"/>
      <c r="AQ49" s="78"/>
      <c r="AR49" s="78"/>
      <c r="AS49" s="78">
        <f t="shared" si="22"/>
        <v>140</v>
      </c>
      <c r="AT49" s="78">
        <f t="shared" ref="AT49:AT56" si="28">AS49</f>
        <v>140</v>
      </c>
      <c r="AU49" s="78"/>
      <c r="AV49" s="78"/>
      <c r="AW49" s="240"/>
    </row>
    <row r="50" spans="1:49" ht="52.5" customHeight="1" x14ac:dyDescent="0.15">
      <c r="A50" s="136"/>
      <c r="B50" s="7" t="s">
        <v>129</v>
      </c>
      <c r="C50" s="7"/>
      <c r="D50" s="32" t="s">
        <v>31</v>
      </c>
      <c r="E50" s="32" t="s">
        <v>412</v>
      </c>
      <c r="F50" s="30" t="s">
        <v>74</v>
      </c>
      <c r="G50" s="29" t="s">
        <v>88</v>
      </c>
      <c r="H50" s="30" t="s">
        <v>23</v>
      </c>
      <c r="I50" s="195" t="s">
        <v>12</v>
      </c>
      <c r="J50" s="318">
        <f>2*7+2*80</f>
        <v>174</v>
      </c>
      <c r="K50" s="30">
        <f>J50</f>
        <v>174</v>
      </c>
      <c r="L50" s="30"/>
      <c r="M50" s="320"/>
      <c r="N50" s="227"/>
      <c r="O50" s="238">
        <f t="shared" si="23"/>
        <v>58</v>
      </c>
      <c r="P50" s="35"/>
      <c r="Q50" s="35"/>
      <c r="R50" s="35"/>
      <c r="S50" s="35"/>
      <c r="T50" s="35"/>
      <c r="U50" s="78">
        <f t="shared" si="20"/>
        <v>58</v>
      </c>
      <c r="V50" s="78">
        <f t="shared" si="24"/>
        <v>58</v>
      </c>
      <c r="W50" s="35"/>
      <c r="X50" s="35"/>
      <c r="Y50" s="307"/>
      <c r="AA50" s="238">
        <f t="shared" si="25"/>
        <v>58</v>
      </c>
      <c r="AB50" s="36"/>
      <c r="AC50" s="36"/>
      <c r="AD50" s="36"/>
      <c r="AE50" s="36"/>
      <c r="AF50" s="36"/>
      <c r="AG50" s="78">
        <f t="shared" si="21"/>
        <v>58</v>
      </c>
      <c r="AH50" s="78">
        <f t="shared" si="26"/>
        <v>58</v>
      </c>
      <c r="AI50" s="36"/>
      <c r="AJ50" s="36"/>
      <c r="AK50" s="310"/>
      <c r="AM50" s="238">
        <f t="shared" si="27"/>
        <v>58</v>
      </c>
      <c r="AN50" s="36"/>
      <c r="AO50" s="36"/>
      <c r="AP50" s="36"/>
      <c r="AQ50" s="36"/>
      <c r="AR50" s="36"/>
      <c r="AS50" s="78">
        <f t="shared" si="22"/>
        <v>58</v>
      </c>
      <c r="AT50" s="78">
        <f t="shared" si="28"/>
        <v>58</v>
      </c>
      <c r="AU50" s="36"/>
      <c r="AV50" s="36"/>
      <c r="AW50" s="310"/>
    </row>
    <row r="51" spans="1:49" ht="53.25" customHeight="1" x14ac:dyDescent="0.15">
      <c r="A51" s="136"/>
      <c r="B51" s="7" t="s">
        <v>130</v>
      </c>
      <c r="C51" s="7"/>
      <c r="D51" s="32" t="s">
        <v>32</v>
      </c>
      <c r="E51" s="33" t="s">
        <v>413</v>
      </c>
      <c r="F51" s="30" t="s">
        <v>74</v>
      </c>
      <c r="G51" s="29" t="s">
        <v>88</v>
      </c>
      <c r="H51" s="30" t="s">
        <v>23</v>
      </c>
      <c r="I51" s="195" t="s">
        <v>12</v>
      </c>
      <c r="J51" s="318">
        <f>1*70*3</f>
        <v>210</v>
      </c>
      <c r="K51" s="30">
        <f t="shared" ref="K51:K56" si="29">J51</f>
        <v>210</v>
      </c>
      <c r="L51" s="30"/>
      <c r="M51" s="320"/>
      <c r="N51" s="227"/>
      <c r="O51" s="238">
        <f t="shared" si="23"/>
        <v>70</v>
      </c>
      <c r="P51" s="81"/>
      <c r="Q51" s="81"/>
      <c r="R51" s="81"/>
      <c r="S51" s="81"/>
      <c r="T51" s="81"/>
      <c r="U51" s="78">
        <f t="shared" si="20"/>
        <v>70</v>
      </c>
      <c r="V51" s="78">
        <f t="shared" si="24"/>
        <v>70</v>
      </c>
      <c r="W51" s="81"/>
      <c r="X51" s="81"/>
      <c r="Y51" s="257"/>
      <c r="AA51" s="238">
        <f t="shared" si="25"/>
        <v>70</v>
      </c>
      <c r="AB51" s="82"/>
      <c r="AC51" s="82"/>
      <c r="AD51" s="82"/>
      <c r="AE51" s="82"/>
      <c r="AF51" s="82"/>
      <c r="AG51" s="78">
        <f t="shared" si="21"/>
        <v>70</v>
      </c>
      <c r="AH51" s="78">
        <f t="shared" si="26"/>
        <v>70</v>
      </c>
      <c r="AI51" s="81"/>
      <c r="AJ51" s="81"/>
      <c r="AK51" s="244"/>
      <c r="AM51" s="238">
        <f t="shared" si="27"/>
        <v>70</v>
      </c>
      <c r="AN51" s="82"/>
      <c r="AO51" s="82"/>
      <c r="AP51" s="82"/>
      <c r="AQ51" s="82"/>
      <c r="AR51" s="82"/>
      <c r="AS51" s="78">
        <f t="shared" si="22"/>
        <v>70</v>
      </c>
      <c r="AT51" s="78">
        <f t="shared" si="28"/>
        <v>70</v>
      </c>
      <c r="AU51" s="81"/>
      <c r="AV51" s="81"/>
      <c r="AW51" s="244"/>
    </row>
    <row r="52" spans="1:49" ht="54.75" customHeight="1" x14ac:dyDescent="0.15">
      <c r="A52" s="136"/>
      <c r="B52" s="7" t="s">
        <v>145</v>
      </c>
      <c r="C52" s="7"/>
      <c r="D52" s="32" t="s">
        <v>33</v>
      </c>
      <c r="E52" s="33" t="s">
        <v>404</v>
      </c>
      <c r="F52" s="30" t="s">
        <v>74</v>
      </c>
      <c r="G52" s="29" t="s">
        <v>88</v>
      </c>
      <c r="H52" s="30" t="s">
        <v>23</v>
      </c>
      <c r="I52" s="195" t="s">
        <v>12</v>
      </c>
      <c r="J52" s="318">
        <f>1*70*3</f>
        <v>210</v>
      </c>
      <c r="K52" s="30">
        <f t="shared" si="29"/>
        <v>210</v>
      </c>
      <c r="L52" s="30"/>
      <c r="M52" s="320"/>
      <c r="N52" s="227"/>
      <c r="O52" s="238">
        <f t="shared" si="23"/>
        <v>70</v>
      </c>
      <c r="P52" s="78"/>
      <c r="Q52" s="81"/>
      <c r="R52" s="81"/>
      <c r="S52" s="81"/>
      <c r="T52" s="81"/>
      <c r="U52" s="78">
        <f t="shared" si="20"/>
        <v>70</v>
      </c>
      <c r="V52" s="78">
        <f t="shared" si="24"/>
        <v>70</v>
      </c>
      <c r="W52" s="81"/>
      <c r="X52" s="81"/>
      <c r="Y52" s="244"/>
      <c r="AA52" s="238">
        <f t="shared" si="25"/>
        <v>70</v>
      </c>
      <c r="AB52" s="78"/>
      <c r="AC52" s="81"/>
      <c r="AD52" s="81"/>
      <c r="AE52" s="81"/>
      <c r="AF52" s="81"/>
      <c r="AG52" s="78">
        <f t="shared" si="21"/>
        <v>70</v>
      </c>
      <c r="AH52" s="78">
        <f t="shared" si="26"/>
        <v>70</v>
      </c>
      <c r="AI52" s="81"/>
      <c r="AJ52" s="81"/>
      <c r="AK52" s="244"/>
      <c r="AM52" s="238">
        <f t="shared" si="27"/>
        <v>70</v>
      </c>
      <c r="AN52" s="78"/>
      <c r="AO52" s="81"/>
      <c r="AP52" s="81"/>
      <c r="AQ52" s="81"/>
      <c r="AR52" s="81"/>
      <c r="AS52" s="78">
        <f t="shared" si="22"/>
        <v>70</v>
      </c>
      <c r="AT52" s="78">
        <f t="shared" si="28"/>
        <v>70</v>
      </c>
      <c r="AU52" s="81"/>
      <c r="AV52" s="81"/>
      <c r="AW52" s="244"/>
    </row>
    <row r="53" spans="1:49" ht="32.25" customHeight="1" x14ac:dyDescent="0.15">
      <c r="A53" s="136"/>
      <c r="B53" s="20" t="s">
        <v>126</v>
      </c>
      <c r="C53" s="20"/>
      <c r="D53" s="32" t="s">
        <v>76</v>
      </c>
      <c r="E53" s="33" t="s">
        <v>404</v>
      </c>
      <c r="F53" s="30" t="s">
        <v>74</v>
      </c>
      <c r="G53" s="29" t="s">
        <v>88</v>
      </c>
      <c r="H53" s="30" t="s">
        <v>23</v>
      </c>
      <c r="I53" s="195" t="s">
        <v>12</v>
      </c>
      <c r="J53" s="318">
        <f t="shared" ref="J53:J56" si="30">1*70*3</f>
        <v>210</v>
      </c>
      <c r="K53" s="30">
        <f t="shared" si="29"/>
        <v>210</v>
      </c>
      <c r="L53" s="30"/>
      <c r="M53" s="320"/>
      <c r="N53" s="227"/>
      <c r="O53" s="238">
        <f t="shared" si="23"/>
        <v>70</v>
      </c>
      <c r="P53" s="35"/>
      <c r="Q53" s="35"/>
      <c r="R53" s="35"/>
      <c r="S53" s="35"/>
      <c r="T53" s="35"/>
      <c r="U53" s="78">
        <f t="shared" si="20"/>
        <v>70</v>
      </c>
      <c r="V53" s="78">
        <f t="shared" si="24"/>
        <v>70</v>
      </c>
      <c r="W53" s="35"/>
      <c r="X53" s="35"/>
      <c r="Y53" s="307"/>
      <c r="AA53" s="238">
        <f t="shared" si="25"/>
        <v>70</v>
      </c>
      <c r="AB53" s="35"/>
      <c r="AC53" s="35"/>
      <c r="AD53" s="35"/>
      <c r="AE53" s="35"/>
      <c r="AF53" s="35"/>
      <c r="AG53" s="78">
        <f t="shared" si="21"/>
        <v>70</v>
      </c>
      <c r="AH53" s="78">
        <f t="shared" si="26"/>
        <v>70</v>
      </c>
      <c r="AI53" s="35"/>
      <c r="AJ53" s="35"/>
      <c r="AK53" s="307"/>
      <c r="AM53" s="238">
        <f t="shared" si="27"/>
        <v>70</v>
      </c>
      <c r="AN53" s="35"/>
      <c r="AO53" s="35"/>
      <c r="AP53" s="35"/>
      <c r="AQ53" s="35"/>
      <c r="AR53" s="35"/>
      <c r="AS53" s="78">
        <f t="shared" si="22"/>
        <v>70</v>
      </c>
      <c r="AT53" s="78">
        <f t="shared" si="28"/>
        <v>70</v>
      </c>
      <c r="AU53" s="35"/>
      <c r="AV53" s="35"/>
      <c r="AW53" s="307"/>
    </row>
    <row r="54" spans="1:49" ht="26.25" customHeight="1" x14ac:dyDescent="0.15">
      <c r="A54" s="136"/>
      <c r="B54" s="20" t="s">
        <v>131</v>
      </c>
      <c r="C54" s="20"/>
      <c r="D54" s="32" t="s">
        <v>34</v>
      </c>
      <c r="E54" s="33" t="s">
        <v>404</v>
      </c>
      <c r="F54" s="30" t="s">
        <v>74</v>
      </c>
      <c r="G54" s="29" t="s">
        <v>88</v>
      </c>
      <c r="H54" s="30" t="s">
        <v>23</v>
      </c>
      <c r="I54" s="195" t="s">
        <v>12</v>
      </c>
      <c r="J54" s="318">
        <f t="shared" si="30"/>
        <v>210</v>
      </c>
      <c r="K54" s="30">
        <f t="shared" si="29"/>
        <v>210</v>
      </c>
      <c r="L54" s="30"/>
      <c r="M54" s="320"/>
      <c r="N54" s="227"/>
      <c r="O54" s="238">
        <f t="shared" si="23"/>
        <v>70</v>
      </c>
      <c r="P54" s="78"/>
      <c r="Q54" s="78"/>
      <c r="R54" s="78"/>
      <c r="S54" s="78"/>
      <c r="T54" s="78"/>
      <c r="U54" s="78">
        <f t="shared" si="20"/>
        <v>70</v>
      </c>
      <c r="V54" s="78">
        <f t="shared" si="24"/>
        <v>70</v>
      </c>
      <c r="W54" s="78"/>
      <c r="X54" s="78">
        <f>L54/3</f>
        <v>0</v>
      </c>
      <c r="Y54" s="240"/>
      <c r="AA54" s="238">
        <f t="shared" si="25"/>
        <v>70</v>
      </c>
      <c r="AB54" s="78"/>
      <c r="AC54" s="78"/>
      <c r="AD54" s="78"/>
      <c r="AE54" s="78"/>
      <c r="AF54" s="78"/>
      <c r="AG54" s="78">
        <f t="shared" si="21"/>
        <v>70</v>
      </c>
      <c r="AH54" s="78">
        <f t="shared" si="26"/>
        <v>70</v>
      </c>
      <c r="AI54" s="78"/>
      <c r="AJ54" s="78">
        <f>X54</f>
        <v>0</v>
      </c>
      <c r="AK54" s="240"/>
      <c r="AM54" s="238">
        <f t="shared" si="27"/>
        <v>70</v>
      </c>
      <c r="AN54" s="78"/>
      <c r="AO54" s="78"/>
      <c r="AP54" s="78"/>
      <c r="AQ54" s="78"/>
      <c r="AR54" s="78"/>
      <c r="AS54" s="78">
        <f t="shared" si="22"/>
        <v>70</v>
      </c>
      <c r="AT54" s="78">
        <f t="shared" si="28"/>
        <v>70</v>
      </c>
      <c r="AU54" s="78"/>
      <c r="AV54" s="78">
        <f>AJ54</f>
        <v>0</v>
      </c>
      <c r="AW54" s="240"/>
    </row>
    <row r="55" spans="1:49" ht="26" x14ac:dyDescent="0.15">
      <c r="A55" s="136"/>
      <c r="B55" s="20" t="s">
        <v>132</v>
      </c>
      <c r="C55" s="20"/>
      <c r="D55" s="1" t="s">
        <v>77</v>
      </c>
      <c r="E55" s="33" t="s">
        <v>404</v>
      </c>
      <c r="F55" s="30" t="s">
        <v>74</v>
      </c>
      <c r="G55" s="29" t="s">
        <v>88</v>
      </c>
      <c r="H55" s="30" t="s">
        <v>23</v>
      </c>
      <c r="I55" s="195" t="s">
        <v>12</v>
      </c>
      <c r="J55" s="318">
        <f t="shared" si="30"/>
        <v>210</v>
      </c>
      <c r="K55" s="30">
        <f t="shared" si="29"/>
        <v>210</v>
      </c>
      <c r="L55" s="30"/>
      <c r="M55" s="320"/>
      <c r="N55" s="227"/>
      <c r="O55" s="238">
        <f t="shared" si="23"/>
        <v>70</v>
      </c>
      <c r="P55" s="78"/>
      <c r="Q55" s="78"/>
      <c r="R55" s="78"/>
      <c r="S55" s="78"/>
      <c r="T55" s="78"/>
      <c r="U55" s="78">
        <f t="shared" si="20"/>
        <v>70</v>
      </c>
      <c r="V55" s="78">
        <f t="shared" si="24"/>
        <v>70</v>
      </c>
      <c r="W55" s="78"/>
      <c r="X55" s="78"/>
      <c r="Y55" s="240"/>
      <c r="AA55" s="238">
        <f t="shared" si="25"/>
        <v>70</v>
      </c>
      <c r="AB55" s="78"/>
      <c r="AC55" s="78"/>
      <c r="AD55" s="78"/>
      <c r="AE55" s="78"/>
      <c r="AF55" s="78"/>
      <c r="AG55" s="78">
        <f t="shared" si="21"/>
        <v>70</v>
      </c>
      <c r="AH55" s="78">
        <f t="shared" si="26"/>
        <v>70</v>
      </c>
      <c r="AI55" s="78"/>
      <c r="AJ55" s="78"/>
      <c r="AK55" s="240"/>
      <c r="AM55" s="238">
        <f t="shared" si="27"/>
        <v>70</v>
      </c>
      <c r="AN55" s="78"/>
      <c r="AO55" s="78"/>
      <c r="AP55" s="78"/>
      <c r="AQ55" s="78"/>
      <c r="AR55" s="78"/>
      <c r="AS55" s="78">
        <f t="shared" si="22"/>
        <v>70</v>
      </c>
      <c r="AT55" s="78">
        <f t="shared" si="28"/>
        <v>70</v>
      </c>
      <c r="AU55" s="78"/>
      <c r="AV55" s="78"/>
      <c r="AW55" s="240"/>
    </row>
    <row r="56" spans="1:49" ht="39" x14ac:dyDescent="0.15">
      <c r="A56" s="136"/>
      <c r="B56" s="20" t="s">
        <v>133</v>
      </c>
      <c r="C56" s="20"/>
      <c r="D56" s="1" t="s">
        <v>78</v>
      </c>
      <c r="E56" s="33" t="s">
        <v>404</v>
      </c>
      <c r="F56" s="30" t="s">
        <v>74</v>
      </c>
      <c r="G56" s="29" t="s">
        <v>88</v>
      </c>
      <c r="H56" s="30" t="s">
        <v>23</v>
      </c>
      <c r="I56" s="195" t="s">
        <v>12</v>
      </c>
      <c r="J56" s="318">
        <f t="shared" si="30"/>
        <v>210</v>
      </c>
      <c r="K56" s="30">
        <f t="shared" si="29"/>
        <v>210</v>
      </c>
      <c r="L56" s="30"/>
      <c r="M56" s="320"/>
      <c r="N56" s="227"/>
      <c r="O56" s="238">
        <f t="shared" si="23"/>
        <v>70</v>
      </c>
      <c r="P56" s="96"/>
      <c r="Q56" s="96"/>
      <c r="R56" s="96"/>
      <c r="S56" s="96"/>
      <c r="T56" s="96"/>
      <c r="U56" s="78">
        <f t="shared" si="20"/>
        <v>70</v>
      </c>
      <c r="V56" s="78">
        <f t="shared" si="24"/>
        <v>70</v>
      </c>
      <c r="W56" s="96"/>
      <c r="X56" s="96"/>
      <c r="Y56" s="309"/>
      <c r="AA56" s="238">
        <f t="shared" si="25"/>
        <v>70</v>
      </c>
      <c r="AB56" s="96"/>
      <c r="AC56" s="96"/>
      <c r="AD56" s="96"/>
      <c r="AE56" s="96"/>
      <c r="AF56" s="96"/>
      <c r="AG56" s="78">
        <f t="shared" si="21"/>
        <v>70</v>
      </c>
      <c r="AH56" s="78">
        <f t="shared" si="26"/>
        <v>70</v>
      </c>
      <c r="AI56" s="96"/>
      <c r="AJ56" s="96"/>
      <c r="AK56" s="309"/>
      <c r="AM56" s="238">
        <f t="shared" si="27"/>
        <v>70</v>
      </c>
      <c r="AN56" s="37"/>
      <c r="AO56" s="37"/>
      <c r="AP56" s="37"/>
      <c r="AQ56" s="37"/>
      <c r="AR56" s="37"/>
      <c r="AS56" s="78">
        <f t="shared" si="22"/>
        <v>70</v>
      </c>
      <c r="AT56" s="78">
        <f t="shared" si="28"/>
        <v>70</v>
      </c>
      <c r="AU56" s="37"/>
      <c r="AV56" s="37"/>
      <c r="AW56" s="312"/>
    </row>
    <row r="57" spans="1:49" s="94" customFormat="1" ht="135" customHeight="1" thickBot="1" x14ac:dyDescent="0.2">
      <c r="A57" s="8"/>
      <c r="B57" s="41" t="s">
        <v>146</v>
      </c>
      <c r="C57" s="41"/>
      <c r="D57" s="1" t="s">
        <v>113</v>
      </c>
      <c r="E57" s="33" t="s">
        <v>181</v>
      </c>
      <c r="F57" s="29" t="s">
        <v>448</v>
      </c>
      <c r="G57" s="29" t="s">
        <v>115</v>
      </c>
      <c r="H57" s="29" t="s">
        <v>23</v>
      </c>
      <c r="I57" s="187" t="s">
        <v>12</v>
      </c>
      <c r="J57" s="322">
        <f>1*12*160+1*12*118+3*12*95+300</f>
        <v>7056</v>
      </c>
      <c r="K57" s="323">
        <f>J57</f>
        <v>7056</v>
      </c>
      <c r="L57" s="323"/>
      <c r="M57" s="324"/>
      <c r="N57" s="227"/>
      <c r="O57" s="246">
        <f>6756/3</f>
        <v>2252</v>
      </c>
      <c r="P57" s="289">
        <v>100</v>
      </c>
      <c r="Q57" s="289"/>
      <c r="R57" s="289"/>
      <c r="S57" s="289"/>
      <c r="T57" s="289"/>
      <c r="U57" s="247">
        <f t="shared" si="20"/>
        <v>2352</v>
      </c>
      <c r="V57" s="248">
        <f>U57</f>
        <v>2352</v>
      </c>
      <c r="W57" s="289"/>
      <c r="X57" s="289"/>
      <c r="Y57" s="314"/>
      <c r="Z57" s="74"/>
      <c r="AA57" s="313">
        <f>O57</f>
        <v>2252</v>
      </c>
      <c r="AB57" s="289">
        <f>P57</f>
        <v>100</v>
      </c>
      <c r="AC57" s="289"/>
      <c r="AD57" s="289"/>
      <c r="AE57" s="289"/>
      <c r="AF57" s="289"/>
      <c r="AG57" s="247">
        <f t="shared" si="21"/>
        <v>2352</v>
      </c>
      <c r="AH57" s="248">
        <f>AG57</f>
        <v>2352</v>
      </c>
      <c r="AI57" s="289"/>
      <c r="AJ57" s="289"/>
      <c r="AK57" s="314"/>
      <c r="AL57" s="74"/>
      <c r="AM57" s="313">
        <f>AA57</f>
        <v>2252</v>
      </c>
      <c r="AN57" s="248">
        <v>100</v>
      </c>
      <c r="AO57" s="289"/>
      <c r="AP57" s="289"/>
      <c r="AQ57" s="289"/>
      <c r="AR57" s="289"/>
      <c r="AS57" s="247">
        <f t="shared" si="22"/>
        <v>2352</v>
      </c>
      <c r="AT57" s="248">
        <f>AS57</f>
        <v>2352</v>
      </c>
      <c r="AU57" s="289"/>
      <c r="AV57" s="289"/>
      <c r="AW57" s="314"/>
    </row>
    <row r="58" spans="1:49" x14ac:dyDescent="0.15"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</row>
    <row r="59" spans="1:49" x14ac:dyDescent="0.15">
      <c r="O59" s="86"/>
      <c r="P59" s="74"/>
      <c r="Q59" s="74"/>
      <c r="R59" s="74"/>
      <c r="S59" s="74"/>
      <c r="T59" s="74"/>
      <c r="U59" s="74"/>
      <c r="V59" s="74"/>
      <c r="W59" s="74"/>
      <c r="X59" s="74"/>
      <c r="Y59" s="74"/>
      <c r="AA59" s="74"/>
      <c r="AB59" s="74"/>
      <c r="AC59" s="74"/>
      <c r="AD59" s="80"/>
      <c r="AE59" s="74"/>
      <c r="AF59" s="74"/>
      <c r="AG59" s="74"/>
      <c r="AH59" s="74"/>
      <c r="AI59" s="74"/>
      <c r="AJ59" s="74"/>
      <c r="AK59" s="74"/>
      <c r="AM59" s="85"/>
      <c r="AN59" s="74"/>
      <c r="AO59" s="74"/>
      <c r="AP59" s="74"/>
      <c r="AQ59" s="74"/>
      <c r="AR59" s="74"/>
      <c r="AS59" s="74"/>
      <c r="AT59" s="74"/>
      <c r="AU59" s="74"/>
      <c r="AV59" s="74"/>
      <c r="AW59" s="74"/>
    </row>
    <row r="60" spans="1:49" x14ac:dyDescent="0.15"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</row>
    <row r="61" spans="1:49" x14ac:dyDescent="0.15"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</row>
    <row r="62" spans="1:49" x14ac:dyDescent="0.15"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</row>
    <row r="63" spans="1:49" x14ac:dyDescent="0.15"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</row>
    <row r="64" spans="1:49" x14ac:dyDescent="0.15"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</row>
    <row r="65" spans="15:49" x14ac:dyDescent="0.15"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</row>
    <row r="66" spans="15:49" x14ac:dyDescent="0.15"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</row>
    <row r="67" spans="15:49" x14ac:dyDescent="0.15"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5:49" x14ac:dyDescent="0.15"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</row>
    <row r="69" spans="15:49" x14ac:dyDescent="0.15"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</row>
    <row r="70" spans="15:49" x14ac:dyDescent="0.15"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</row>
    <row r="71" spans="15:49" x14ac:dyDescent="0.15"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</row>
    <row r="72" spans="15:49" x14ac:dyDescent="0.15"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</row>
    <row r="73" spans="15:49" x14ac:dyDescent="0.15"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</row>
    <row r="74" spans="15:49" x14ac:dyDescent="0.15"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</row>
    <row r="75" spans="15:49" x14ac:dyDescent="0.15"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</row>
    <row r="76" spans="15:49" x14ac:dyDescent="0.15"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</row>
    <row r="77" spans="15:49" x14ac:dyDescent="0.15"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</row>
    <row r="78" spans="15:49" x14ac:dyDescent="0.15"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</row>
    <row r="79" spans="15:49" x14ac:dyDescent="0.15"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</row>
    <row r="80" spans="15:49" x14ac:dyDescent="0.15"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</row>
    <row r="81" spans="15:49" x14ac:dyDescent="0.15"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</row>
    <row r="82" spans="15:49" x14ac:dyDescent="0.15"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</row>
    <row r="83" spans="15:49" x14ac:dyDescent="0.15"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</row>
    <row r="84" spans="15:49" x14ac:dyDescent="0.15"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</row>
    <row r="85" spans="15:49" x14ac:dyDescent="0.15"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</row>
    <row r="86" spans="15:49" x14ac:dyDescent="0.15"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</row>
    <row r="87" spans="15:49" x14ac:dyDescent="0.15"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</row>
    <row r="88" spans="15:49" x14ac:dyDescent="0.15"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</row>
    <row r="89" spans="15:49" x14ac:dyDescent="0.15"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</row>
    <row r="90" spans="15:49" x14ac:dyDescent="0.15"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</row>
    <row r="91" spans="15:49" x14ac:dyDescent="0.15"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</row>
    <row r="92" spans="15:49" x14ac:dyDescent="0.15"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</row>
    <row r="93" spans="15:49" x14ac:dyDescent="0.15"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</row>
    <row r="94" spans="15:49" x14ac:dyDescent="0.15"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</row>
    <row r="95" spans="15:49" x14ac:dyDescent="0.15"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</row>
    <row r="96" spans="15:49" x14ac:dyDescent="0.15"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</row>
    <row r="97" spans="15:49" x14ac:dyDescent="0.15"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</row>
    <row r="98" spans="15:49" x14ac:dyDescent="0.15"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</row>
    <row r="99" spans="15:49" x14ac:dyDescent="0.15"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</row>
    <row r="100" spans="15:49" x14ac:dyDescent="0.15"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</row>
    <row r="101" spans="15:49" x14ac:dyDescent="0.15"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</row>
    <row r="102" spans="15:49" x14ac:dyDescent="0.15"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</row>
    <row r="103" spans="15:49" x14ac:dyDescent="0.15"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</row>
    <row r="104" spans="15:49" x14ac:dyDescent="0.15"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</row>
    <row r="105" spans="15:49" x14ac:dyDescent="0.15"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</row>
    <row r="106" spans="15:49" x14ac:dyDescent="0.15"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</row>
    <row r="107" spans="15:49" x14ac:dyDescent="0.15"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</row>
    <row r="108" spans="15:49" x14ac:dyDescent="0.15"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</row>
    <row r="109" spans="15:49" x14ac:dyDescent="0.15"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</row>
    <row r="110" spans="15:49" x14ac:dyDescent="0.15"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</row>
    <row r="111" spans="15:49" x14ac:dyDescent="0.15"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</row>
    <row r="112" spans="15:49" x14ac:dyDescent="0.15"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</row>
    <row r="113" spans="15:49" x14ac:dyDescent="0.15"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</row>
    <row r="114" spans="15:49" x14ac:dyDescent="0.15"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</row>
    <row r="115" spans="15:49" x14ac:dyDescent="0.15"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</row>
    <row r="116" spans="15:49" x14ac:dyDescent="0.15"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</row>
    <row r="117" spans="15:49" x14ac:dyDescent="0.15"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</row>
    <row r="118" spans="15:49" x14ac:dyDescent="0.15"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</row>
    <row r="119" spans="15:49" x14ac:dyDescent="0.15"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</row>
    <row r="120" spans="15:49" x14ac:dyDescent="0.15"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</row>
    <row r="121" spans="15:49" x14ac:dyDescent="0.15"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</row>
    <row r="122" spans="15:49" x14ac:dyDescent="0.15"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5:49" x14ac:dyDescent="0.15"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5:49" x14ac:dyDescent="0.15"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5:49" x14ac:dyDescent="0.15"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5:49" x14ac:dyDescent="0.15"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5:49" x14ac:dyDescent="0.15"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</sheetData>
  <customSheetViews>
    <customSheetView guid="{033B3830-A9CA-8D41-BC84-D742977C4300}" scale="150" showGridLines="0" topLeftCell="A13">
      <selection activeCell="F57" sqref="F57"/>
      <pageMargins left="0.7" right="0.7" top="0.75" bottom="0.75" header="0.3" footer="0.3"/>
      <pageSetup orientation="portrait"/>
    </customSheetView>
    <customSheetView guid="{694CA80F-83B4-4B42-A82F-AA4B9565E59A}" scale="84" showGridLines="0" topLeftCell="AB7">
      <selection activeCell="AM7" sqref="AM7:AW7"/>
      <pageMargins left="0.7" right="0.7" top="0.75" bottom="0.75" header="0.3" footer="0.3"/>
      <pageSetup orientation="portrait"/>
    </customSheetView>
    <customSheetView guid="{072E7775-6D14-894A-BE79-51AE1E53E486}" scale="150" showGridLines="0" topLeftCell="A143">
      <selection activeCell="C64" sqref="C64"/>
      <pageMargins left="0.7" right="0.7" top="0.75" bottom="0.75" header="0.3" footer="0.3"/>
      <pageSetup orientation="portrait"/>
    </customSheetView>
  </customSheetViews>
  <mergeCells count="17">
    <mergeCell ref="A2:M2"/>
    <mergeCell ref="A3:M3"/>
    <mergeCell ref="A4:M4"/>
    <mergeCell ref="A5:M5"/>
    <mergeCell ref="A6:A7"/>
    <mergeCell ref="B6:B7"/>
    <mergeCell ref="D6:D7"/>
    <mergeCell ref="F6:G6"/>
    <mergeCell ref="H6:I6"/>
    <mergeCell ref="J6:J7"/>
    <mergeCell ref="AM7:AW7"/>
    <mergeCell ref="A9:B9"/>
    <mergeCell ref="O7:Y7"/>
    <mergeCell ref="AA7:AK7"/>
    <mergeCell ref="K6:L6"/>
    <mergeCell ref="M6:M7"/>
    <mergeCell ref="B8:D8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zoomScale="86" zoomScaleNormal="86" zoomScalePageLayoutView="150" workbookViewId="0">
      <selection activeCell="H8" sqref="H8"/>
    </sheetView>
  </sheetViews>
  <sheetFormatPr baseColWidth="10" defaultColWidth="8.83203125" defaultRowHeight="13" x14ac:dyDescent="0.15"/>
  <cols>
    <col min="1" max="1" width="8.83203125" style="65"/>
    <col min="2" max="2" width="38.83203125" style="65" customWidth="1"/>
    <col min="3" max="3" width="18.5" style="65" customWidth="1"/>
    <col min="4" max="4" width="20.83203125" style="65" customWidth="1"/>
    <col min="5" max="5" width="21.5" style="65" customWidth="1"/>
    <col min="6" max="6" width="17.83203125" style="65" customWidth="1"/>
    <col min="7" max="7" width="17.33203125" style="65" customWidth="1"/>
    <col min="8" max="8" width="16.83203125" style="65" customWidth="1"/>
    <col min="9" max="9" width="16.5" style="65" customWidth="1"/>
    <col min="10" max="10" width="17" style="65" customWidth="1"/>
    <col min="11" max="11" width="15.6640625" style="65" customWidth="1"/>
    <col min="12" max="12" width="13.83203125" style="133" customWidth="1"/>
    <col min="13" max="13" width="8.83203125" style="65" customWidth="1"/>
    <col min="14" max="14" width="13.83203125" style="74" customWidth="1"/>
    <col min="15" max="25" width="10.5" style="3" customWidth="1"/>
    <col min="26" max="26" width="10.5" style="74" customWidth="1"/>
    <col min="27" max="37" width="10.5" style="3" customWidth="1"/>
    <col min="38" max="38" width="10.5" style="74" customWidth="1"/>
    <col min="39" max="44" width="10.5" style="3" customWidth="1"/>
    <col min="45" max="45" width="11.5" style="3" customWidth="1"/>
    <col min="46" max="49" width="10.5" style="3" customWidth="1"/>
    <col min="50" max="16384" width="8.83203125" style="65"/>
  </cols>
  <sheetData>
    <row r="1" spans="1:50" x14ac:dyDescent="0.15">
      <c r="A1" s="58"/>
      <c r="B1" s="58" t="s">
        <v>3</v>
      </c>
      <c r="C1" s="58"/>
      <c r="D1" s="58"/>
      <c r="E1" s="58"/>
      <c r="F1" s="58"/>
      <c r="G1" s="59"/>
      <c r="H1" s="59"/>
      <c r="I1" s="59"/>
      <c r="J1" s="59"/>
      <c r="K1" s="59"/>
      <c r="L1" s="127"/>
      <c r="M1" s="59"/>
    </row>
    <row r="2" spans="1:50" x14ac:dyDescent="0.15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50" x14ac:dyDescent="0.15">
      <c r="A3" s="396" t="s">
        <v>134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T3" s="66"/>
      <c r="AE3" s="67"/>
    </row>
    <row r="4" spans="1:50" x14ac:dyDescent="0.15">
      <c r="A4" s="396" t="s">
        <v>453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T4" s="68"/>
      <c r="AS4" s="67"/>
    </row>
    <row r="5" spans="1:50" ht="14" thickBot="1" x14ac:dyDescent="0.2">
      <c r="A5" s="400" t="s">
        <v>135</v>
      </c>
      <c r="B5" s="400"/>
      <c r="C5" s="400"/>
      <c r="D5" s="400"/>
      <c r="E5" s="400"/>
      <c r="F5" s="400"/>
      <c r="G5" s="400"/>
      <c r="H5" s="400"/>
      <c r="I5" s="400"/>
      <c r="J5" s="401"/>
      <c r="K5" s="401"/>
      <c r="L5" s="401"/>
      <c r="M5" s="401"/>
      <c r="N5" s="85"/>
      <c r="U5" s="67"/>
    </row>
    <row r="6" spans="1:50" ht="16" customHeight="1" thickBot="1" x14ac:dyDescent="0.2">
      <c r="A6" s="375" t="s">
        <v>5</v>
      </c>
      <c r="B6" s="353"/>
      <c r="C6" s="43"/>
      <c r="D6" s="353" t="s">
        <v>178</v>
      </c>
      <c r="E6" s="43"/>
      <c r="F6" s="353" t="s">
        <v>64</v>
      </c>
      <c r="G6" s="353"/>
      <c r="H6" s="353" t="s">
        <v>8</v>
      </c>
      <c r="I6" s="354"/>
      <c r="J6" s="402" t="s">
        <v>65</v>
      </c>
      <c r="K6" s="393" t="s">
        <v>0</v>
      </c>
      <c r="L6" s="393"/>
      <c r="M6" s="394" t="s">
        <v>66</v>
      </c>
      <c r="N6" s="80"/>
      <c r="U6" s="69"/>
    </row>
    <row r="7" spans="1:50" ht="39" x14ac:dyDescent="0.15">
      <c r="A7" s="375"/>
      <c r="B7" s="353"/>
      <c r="C7" s="53" t="s">
        <v>6</v>
      </c>
      <c r="D7" s="353"/>
      <c r="E7" s="43" t="s">
        <v>172</v>
      </c>
      <c r="F7" s="13" t="s">
        <v>67</v>
      </c>
      <c r="G7" s="13" t="s">
        <v>68</v>
      </c>
      <c r="H7" s="43" t="s">
        <v>1</v>
      </c>
      <c r="I7" s="186" t="s">
        <v>2</v>
      </c>
      <c r="J7" s="403"/>
      <c r="K7" s="43" t="s">
        <v>69</v>
      </c>
      <c r="L7" s="43" t="s">
        <v>136</v>
      </c>
      <c r="M7" s="395"/>
      <c r="O7" s="383" t="s">
        <v>156</v>
      </c>
      <c r="P7" s="384"/>
      <c r="Q7" s="384"/>
      <c r="R7" s="384"/>
      <c r="S7" s="384"/>
      <c r="T7" s="384"/>
      <c r="U7" s="384"/>
      <c r="V7" s="384"/>
      <c r="W7" s="384"/>
      <c r="X7" s="384"/>
      <c r="Y7" s="385"/>
      <c r="AA7" s="386" t="s">
        <v>157</v>
      </c>
      <c r="AB7" s="387"/>
      <c r="AC7" s="387"/>
      <c r="AD7" s="387"/>
      <c r="AE7" s="387"/>
      <c r="AF7" s="387"/>
      <c r="AG7" s="387"/>
      <c r="AH7" s="387"/>
      <c r="AI7" s="387"/>
      <c r="AJ7" s="387"/>
      <c r="AK7" s="388"/>
      <c r="AM7" s="389" t="s">
        <v>158</v>
      </c>
      <c r="AN7" s="390"/>
      <c r="AO7" s="390"/>
      <c r="AP7" s="390"/>
      <c r="AQ7" s="390"/>
      <c r="AR7" s="390"/>
      <c r="AS7" s="390"/>
      <c r="AT7" s="390"/>
      <c r="AU7" s="390"/>
      <c r="AV7" s="390"/>
      <c r="AW7" s="391"/>
    </row>
    <row r="8" spans="1:50" ht="79.5" customHeight="1" x14ac:dyDescent="0.15">
      <c r="A8" s="8" t="s">
        <v>4</v>
      </c>
      <c r="B8" s="392" t="s">
        <v>137</v>
      </c>
      <c r="C8" s="392"/>
      <c r="D8" s="392"/>
      <c r="E8" s="140"/>
      <c r="F8" s="29" t="s">
        <v>7</v>
      </c>
      <c r="G8" s="29" t="s">
        <v>138</v>
      </c>
      <c r="H8" s="29"/>
      <c r="I8" s="187"/>
      <c r="J8" s="261"/>
      <c r="K8" s="11"/>
      <c r="L8" s="11"/>
      <c r="M8" s="262"/>
      <c r="O8" s="252" t="s">
        <v>159</v>
      </c>
      <c r="P8" s="61" t="s">
        <v>160</v>
      </c>
      <c r="Q8" s="61" t="s">
        <v>161</v>
      </c>
      <c r="R8" s="61" t="s">
        <v>216</v>
      </c>
      <c r="S8" s="61" t="s">
        <v>162</v>
      </c>
      <c r="T8" s="61" t="s">
        <v>163</v>
      </c>
      <c r="U8" s="61" t="s">
        <v>164</v>
      </c>
      <c r="V8" s="61" t="s">
        <v>165</v>
      </c>
      <c r="W8" s="61" t="s">
        <v>166</v>
      </c>
      <c r="X8" s="61" t="s">
        <v>167</v>
      </c>
      <c r="Y8" s="253" t="s">
        <v>168</v>
      </c>
      <c r="AA8" s="250" t="s">
        <v>159</v>
      </c>
      <c r="AB8" s="62" t="s">
        <v>160</v>
      </c>
      <c r="AC8" s="62" t="s">
        <v>161</v>
      </c>
      <c r="AD8" s="62" t="s">
        <v>216</v>
      </c>
      <c r="AE8" s="62" t="s">
        <v>162</v>
      </c>
      <c r="AF8" s="62" t="s">
        <v>163</v>
      </c>
      <c r="AG8" s="62" t="s">
        <v>164</v>
      </c>
      <c r="AH8" s="62" t="s">
        <v>165</v>
      </c>
      <c r="AI8" s="62" t="s">
        <v>169</v>
      </c>
      <c r="AJ8" s="62" t="s">
        <v>167</v>
      </c>
      <c r="AK8" s="251" t="s">
        <v>168</v>
      </c>
      <c r="AM8" s="231" t="s">
        <v>159</v>
      </c>
      <c r="AN8" s="63" t="s">
        <v>160</v>
      </c>
      <c r="AO8" s="63" t="s">
        <v>161</v>
      </c>
      <c r="AP8" s="63" t="s">
        <v>216</v>
      </c>
      <c r="AQ8" s="63" t="s">
        <v>162</v>
      </c>
      <c r="AR8" s="63" t="s">
        <v>163</v>
      </c>
      <c r="AS8" s="63" t="s">
        <v>164</v>
      </c>
      <c r="AT8" s="63" t="s">
        <v>165</v>
      </c>
      <c r="AU8" s="63" t="s">
        <v>170</v>
      </c>
      <c r="AV8" s="63" t="s">
        <v>167</v>
      </c>
      <c r="AW8" s="232" t="s">
        <v>168</v>
      </c>
    </row>
    <row r="9" spans="1:50" s="3" customFormat="1" ht="26.25" customHeight="1" x14ac:dyDescent="0.2">
      <c r="A9" s="382" t="s">
        <v>171</v>
      </c>
      <c r="B9" s="382"/>
      <c r="C9" s="139"/>
      <c r="D9" s="71"/>
      <c r="E9" s="71"/>
      <c r="F9" s="71"/>
      <c r="G9" s="71"/>
      <c r="H9" s="72"/>
      <c r="I9" s="259"/>
      <c r="J9" s="326">
        <f>J10</f>
        <v>9509</v>
      </c>
      <c r="K9" s="75">
        <f t="shared" ref="K9:AW9" si="0">K10</f>
        <v>2904</v>
      </c>
      <c r="L9" s="75">
        <f t="shared" si="0"/>
        <v>6605</v>
      </c>
      <c r="M9" s="327">
        <f t="shared" si="0"/>
        <v>0</v>
      </c>
      <c r="N9" s="272"/>
      <c r="O9" s="326">
        <f t="shared" si="0"/>
        <v>1139</v>
      </c>
      <c r="P9" s="75">
        <f t="shared" si="0"/>
        <v>879</v>
      </c>
      <c r="Q9" s="75">
        <f t="shared" si="0"/>
        <v>2170</v>
      </c>
      <c r="R9" s="75">
        <f t="shared" si="0"/>
        <v>0</v>
      </c>
      <c r="S9" s="75">
        <f t="shared" si="0"/>
        <v>0</v>
      </c>
      <c r="T9" s="75">
        <f t="shared" si="0"/>
        <v>0</v>
      </c>
      <c r="U9" s="75">
        <f t="shared" si="0"/>
        <v>4188</v>
      </c>
      <c r="V9" s="75">
        <f t="shared" si="0"/>
        <v>1248</v>
      </c>
      <c r="W9" s="75">
        <f t="shared" si="0"/>
        <v>0</v>
      </c>
      <c r="X9" s="75">
        <f t="shared" si="0"/>
        <v>3070</v>
      </c>
      <c r="Y9" s="327">
        <f t="shared" si="0"/>
        <v>0</v>
      </c>
      <c r="Z9" s="272"/>
      <c r="AA9" s="326">
        <f t="shared" si="0"/>
        <v>720</v>
      </c>
      <c r="AB9" s="75">
        <f t="shared" si="0"/>
        <v>1118</v>
      </c>
      <c r="AC9" s="75">
        <f t="shared" si="0"/>
        <v>1815</v>
      </c>
      <c r="AD9" s="75">
        <f t="shared" si="0"/>
        <v>0</v>
      </c>
      <c r="AE9" s="75">
        <f t="shared" si="0"/>
        <v>0</v>
      </c>
      <c r="AF9" s="75">
        <f t="shared" si="0"/>
        <v>0</v>
      </c>
      <c r="AG9" s="75">
        <f t="shared" si="0"/>
        <v>3653</v>
      </c>
      <c r="AH9" s="75">
        <f t="shared" si="0"/>
        <v>828</v>
      </c>
      <c r="AI9" s="75">
        <f t="shared" si="0"/>
        <v>0</v>
      </c>
      <c r="AJ9" s="75">
        <f t="shared" si="0"/>
        <v>2825</v>
      </c>
      <c r="AK9" s="327">
        <f t="shared" si="0"/>
        <v>0</v>
      </c>
      <c r="AL9" s="272"/>
      <c r="AM9" s="326">
        <f t="shared" si="0"/>
        <v>720</v>
      </c>
      <c r="AN9" s="75">
        <f t="shared" si="0"/>
        <v>328</v>
      </c>
      <c r="AO9" s="75">
        <f t="shared" si="0"/>
        <v>620</v>
      </c>
      <c r="AP9" s="75">
        <f t="shared" si="0"/>
        <v>0</v>
      </c>
      <c r="AQ9" s="75">
        <f t="shared" si="0"/>
        <v>0</v>
      </c>
      <c r="AR9" s="75">
        <f t="shared" si="0"/>
        <v>0</v>
      </c>
      <c r="AS9" s="75">
        <f t="shared" si="0"/>
        <v>1668</v>
      </c>
      <c r="AT9" s="75">
        <f t="shared" si="0"/>
        <v>828</v>
      </c>
      <c r="AU9" s="75">
        <f t="shared" si="0"/>
        <v>0</v>
      </c>
      <c r="AV9" s="75">
        <f t="shared" si="0"/>
        <v>840</v>
      </c>
      <c r="AW9" s="75">
        <f t="shared" si="0"/>
        <v>0</v>
      </c>
      <c r="AX9" s="64"/>
    </row>
    <row r="10" spans="1:50" s="2" customFormat="1" ht="54.75" customHeight="1" x14ac:dyDescent="0.2">
      <c r="A10" s="166">
        <v>4</v>
      </c>
      <c r="B10" s="46" t="s">
        <v>272</v>
      </c>
      <c r="C10" s="166"/>
      <c r="D10" s="344" t="s">
        <v>418</v>
      </c>
      <c r="E10" s="151"/>
      <c r="F10" s="151"/>
      <c r="G10" s="151"/>
      <c r="H10" s="152"/>
      <c r="I10" s="294"/>
      <c r="J10" s="277">
        <f>J11+J26</f>
        <v>9509</v>
      </c>
      <c r="K10" s="153">
        <f t="shared" ref="K10:AW10" si="1">K11+K26</f>
        <v>2904</v>
      </c>
      <c r="L10" s="153">
        <f t="shared" si="1"/>
        <v>6605</v>
      </c>
      <c r="M10" s="278">
        <f t="shared" si="1"/>
        <v>0</v>
      </c>
      <c r="N10" s="272"/>
      <c r="O10" s="277">
        <f t="shared" si="1"/>
        <v>1139</v>
      </c>
      <c r="P10" s="153">
        <f t="shared" si="1"/>
        <v>879</v>
      </c>
      <c r="Q10" s="153">
        <f t="shared" si="1"/>
        <v>2170</v>
      </c>
      <c r="R10" s="153">
        <f t="shared" si="1"/>
        <v>0</v>
      </c>
      <c r="S10" s="153">
        <f t="shared" si="1"/>
        <v>0</v>
      </c>
      <c r="T10" s="153">
        <f t="shared" si="1"/>
        <v>0</v>
      </c>
      <c r="U10" s="153">
        <f t="shared" si="1"/>
        <v>4188</v>
      </c>
      <c r="V10" s="153">
        <f t="shared" si="1"/>
        <v>1248</v>
      </c>
      <c r="W10" s="153">
        <f t="shared" si="1"/>
        <v>0</v>
      </c>
      <c r="X10" s="153">
        <f t="shared" si="1"/>
        <v>3070</v>
      </c>
      <c r="Y10" s="278">
        <f t="shared" si="1"/>
        <v>0</v>
      </c>
      <c r="Z10" s="272"/>
      <c r="AA10" s="277">
        <f t="shared" si="1"/>
        <v>720</v>
      </c>
      <c r="AB10" s="153">
        <f t="shared" si="1"/>
        <v>1118</v>
      </c>
      <c r="AC10" s="153">
        <f t="shared" si="1"/>
        <v>1815</v>
      </c>
      <c r="AD10" s="153">
        <f t="shared" si="1"/>
        <v>0</v>
      </c>
      <c r="AE10" s="153">
        <f t="shared" si="1"/>
        <v>0</v>
      </c>
      <c r="AF10" s="153">
        <f t="shared" si="1"/>
        <v>0</v>
      </c>
      <c r="AG10" s="153">
        <f t="shared" si="1"/>
        <v>3653</v>
      </c>
      <c r="AH10" s="153">
        <f t="shared" si="1"/>
        <v>828</v>
      </c>
      <c r="AI10" s="153">
        <f t="shared" si="1"/>
        <v>0</v>
      </c>
      <c r="AJ10" s="153">
        <f t="shared" si="1"/>
        <v>2825</v>
      </c>
      <c r="AK10" s="278">
        <f t="shared" si="1"/>
        <v>0</v>
      </c>
      <c r="AL10" s="272"/>
      <c r="AM10" s="277">
        <f t="shared" si="1"/>
        <v>720</v>
      </c>
      <c r="AN10" s="153">
        <f t="shared" si="1"/>
        <v>328</v>
      </c>
      <c r="AO10" s="153">
        <f t="shared" si="1"/>
        <v>620</v>
      </c>
      <c r="AP10" s="153">
        <f t="shared" si="1"/>
        <v>0</v>
      </c>
      <c r="AQ10" s="153">
        <f t="shared" si="1"/>
        <v>0</v>
      </c>
      <c r="AR10" s="153">
        <f t="shared" si="1"/>
        <v>0</v>
      </c>
      <c r="AS10" s="153">
        <f t="shared" si="1"/>
        <v>1668</v>
      </c>
      <c r="AT10" s="153">
        <f t="shared" si="1"/>
        <v>828</v>
      </c>
      <c r="AU10" s="153">
        <f t="shared" si="1"/>
        <v>0</v>
      </c>
      <c r="AV10" s="153">
        <f t="shared" si="1"/>
        <v>840</v>
      </c>
      <c r="AW10" s="153">
        <f t="shared" si="1"/>
        <v>0</v>
      </c>
      <c r="AX10" s="74"/>
    </row>
    <row r="11" spans="1:50" s="171" customFormat="1" ht="56.25" customHeight="1" x14ac:dyDescent="0.2">
      <c r="A11" s="138"/>
      <c r="B11" s="162" t="s">
        <v>364</v>
      </c>
      <c r="C11" s="162"/>
      <c r="D11" s="155"/>
      <c r="E11" s="138"/>
      <c r="F11" s="138"/>
      <c r="G11" s="138"/>
      <c r="H11" s="138"/>
      <c r="I11" s="270"/>
      <c r="J11" s="279">
        <f>SUM(J12:J25)</f>
        <v>7466</v>
      </c>
      <c r="K11" s="176">
        <f>SUM(K12:K25)</f>
        <v>2151</v>
      </c>
      <c r="L11" s="176">
        <f>SUM(L12:L25)</f>
        <v>5315</v>
      </c>
      <c r="M11" s="280">
        <f>SUM(M12:M25)</f>
        <v>0</v>
      </c>
      <c r="N11" s="272"/>
      <c r="O11" s="279">
        <f t="shared" ref="O11:Y11" si="2">SUM(O12:O25)</f>
        <v>816</v>
      </c>
      <c r="P11" s="176">
        <f t="shared" si="2"/>
        <v>459</v>
      </c>
      <c r="Q11" s="176">
        <f t="shared" si="2"/>
        <v>1940</v>
      </c>
      <c r="R11" s="176">
        <f t="shared" si="2"/>
        <v>0</v>
      </c>
      <c r="S11" s="176">
        <f t="shared" si="2"/>
        <v>0</v>
      </c>
      <c r="T11" s="176">
        <f t="shared" si="2"/>
        <v>0</v>
      </c>
      <c r="U11" s="176">
        <f t="shared" si="2"/>
        <v>3215</v>
      </c>
      <c r="V11" s="176">
        <f t="shared" si="2"/>
        <v>925</v>
      </c>
      <c r="W11" s="351">
        <f t="shared" si="2"/>
        <v>0</v>
      </c>
      <c r="X11" s="176">
        <f t="shared" si="2"/>
        <v>2290</v>
      </c>
      <c r="Y11" s="280">
        <f t="shared" si="2"/>
        <v>0</v>
      </c>
      <c r="Z11" s="273"/>
      <c r="AA11" s="328">
        <f>SUM(AA12:AA25)</f>
        <v>505</v>
      </c>
      <c r="AB11" s="218">
        <f t="shared" ref="AB11:AW11" si="3">SUM(AB12:AB25)</f>
        <v>898</v>
      </c>
      <c r="AC11" s="218">
        <f t="shared" si="3"/>
        <v>1715</v>
      </c>
      <c r="AD11" s="218">
        <f t="shared" si="3"/>
        <v>0</v>
      </c>
      <c r="AE11" s="218">
        <f t="shared" si="3"/>
        <v>0</v>
      </c>
      <c r="AF11" s="218">
        <f t="shared" si="3"/>
        <v>0</v>
      </c>
      <c r="AG11" s="218">
        <f t="shared" si="3"/>
        <v>3118</v>
      </c>
      <c r="AH11" s="218">
        <f t="shared" si="3"/>
        <v>613</v>
      </c>
      <c r="AI11" s="218">
        <f t="shared" si="3"/>
        <v>0</v>
      </c>
      <c r="AJ11" s="218">
        <f t="shared" si="3"/>
        <v>2505</v>
      </c>
      <c r="AK11" s="329">
        <f t="shared" si="3"/>
        <v>0</v>
      </c>
      <c r="AL11" s="325"/>
      <c r="AM11" s="328">
        <f t="shared" si="3"/>
        <v>505</v>
      </c>
      <c r="AN11" s="218">
        <f t="shared" si="3"/>
        <v>108</v>
      </c>
      <c r="AO11" s="218">
        <f t="shared" si="3"/>
        <v>520</v>
      </c>
      <c r="AP11" s="218">
        <f t="shared" si="3"/>
        <v>0</v>
      </c>
      <c r="AQ11" s="218">
        <f t="shared" si="3"/>
        <v>0</v>
      </c>
      <c r="AR11" s="218">
        <f t="shared" si="3"/>
        <v>0</v>
      </c>
      <c r="AS11" s="218">
        <f t="shared" si="3"/>
        <v>1133</v>
      </c>
      <c r="AT11" s="218">
        <f t="shared" si="3"/>
        <v>613</v>
      </c>
      <c r="AU11" s="218">
        <f t="shared" si="3"/>
        <v>0</v>
      </c>
      <c r="AV11" s="218">
        <f t="shared" si="3"/>
        <v>520</v>
      </c>
      <c r="AW11" s="218">
        <f t="shared" si="3"/>
        <v>0</v>
      </c>
    </row>
    <row r="12" spans="1:50" ht="43.5" customHeight="1" x14ac:dyDescent="0.15">
      <c r="A12" s="8"/>
      <c r="B12" s="33" t="s">
        <v>233</v>
      </c>
      <c r="C12" s="33"/>
      <c r="D12" s="1" t="s">
        <v>339</v>
      </c>
      <c r="E12" s="32" t="s">
        <v>417</v>
      </c>
      <c r="F12" s="29" t="s">
        <v>7</v>
      </c>
      <c r="G12" s="29" t="s">
        <v>91</v>
      </c>
      <c r="H12" s="29" t="s">
        <v>25</v>
      </c>
      <c r="I12" s="187" t="s">
        <v>117</v>
      </c>
      <c r="J12" s="298">
        <f>10*13</f>
        <v>130</v>
      </c>
      <c r="K12" s="29"/>
      <c r="L12" s="29">
        <f>J12</f>
        <v>130</v>
      </c>
      <c r="M12" s="295"/>
      <c r="N12" s="272"/>
      <c r="O12" s="238"/>
      <c r="P12" s="78"/>
      <c r="Q12" s="78">
        <v>130</v>
      </c>
      <c r="R12" s="78"/>
      <c r="S12" s="78"/>
      <c r="T12" s="78"/>
      <c r="U12" s="78">
        <f t="shared" ref="U12:U17" si="4">SUM(O12:T12)</f>
        <v>130</v>
      </c>
      <c r="V12" s="78"/>
      <c r="W12" s="78"/>
      <c r="X12" s="78">
        <v>130</v>
      </c>
      <c r="Y12" s="240"/>
      <c r="Z12" s="80"/>
      <c r="AA12" s="238"/>
      <c r="AB12" s="78"/>
      <c r="AC12" s="78"/>
      <c r="AD12" s="78"/>
      <c r="AE12" s="78"/>
      <c r="AF12" s="78"/>
      <c r="AG12" s="78">
        <f t="shared" ref="AG12:AG17" si="5">SUM(AA12:AF12)</f>
        <v>0</v>
      </c>
      <c r="AH12" s="78"/>
      <c r="AI12" s="78"/>
      <c r="AJ12" s="78"/>
      <c r="AK12" s="240"/>
      <c r="AL12" s="80"/>
      <c r="AM12" s="238"/>
      <c r="AN12" s="78"/>
      <c r="AO12" s="78"/>
      <c r="AP12" s="78"/>
      <c r="AQ12" s="78"/>
      <c r="AR12" s="78"/>
      <c r="AS12" s="78">
        <f t="shared" ref="AS12:AS17" si="6">SUM(AM12:AR12)</f>
        <v>0</v>
      </c>
      <c r="AT12" s="78"/>
      <c r="AU12" s="78"/>
      <c r="AV12" s="78"/>
      <c r="AW12" s="240"/>
    </row>
    <row r="13" spans="1:50" ht="78" x14ac:dyDescent="0.15">
      <c r="A13" s="8"/>
      <c r="B13" s="33" t="s">
        <v>235</v>
      </c>
      <c r="C13" s="33"/>
      <c r="D13" s="1" t="s">
        <v>419</v>
      </c>
      <c r="E13" s="32" t="s">
        <v>414</v>
      </c>
      <c r="F13" s="29" t="s">
        <v>7</v>
      </c>
      <c r="G13" s="29" t="s">
        <v>91</v>
      </c>
      <c r="H13" s="29" t="s">
        <v>23</v>
      </c>
      <c r="I13" s="187" t="s">
        <v>12</v>
      </c>
      <c r="J13" s="298">
        <f>119*3+96*3+40</f>
        <v>685</v>
      </c>
      <c r="K13" s="29">
        <f>J13</f>
        <v>685</v>
      </c>
      <c r="L13" s="29"/>
      <c r="M13" s="295"/>
      <c r="N13" s="272"/>
      <c r="O13" s="286">
        <f>119+96</f>
        <v>215</v>
      </c>
      <c r="P13" s="55">
        <v>14</v>
      </c>
      <c r="Q13" s="35"/>
      <c r="R13" s="35"/>
      <c r="S13" s="35"/>
      <c r="T13" s="35"/>
      <c r="U13" s="78">
        <f t="shared" si="4"/>
        <v>229</v>
      </c>
      <c r="V13" s="55">
        <f>U13</f>
        <v>229</v>
      </c>
      <c r="W13" s="35"/>
      <c r="X13" s="35"/>
      <c r="Y13" s="307"/>
      <c r="Z13" s="80"/>
      <c r="AA13" s="286">
        <f>O13</f>
        <v>215</v>
      </c>
      <c r="AB13" s="55">
        <v>13</v>
      </c>
      <c r="AC13" s="55"/>
      <c r="AD13" s="55"/>
      <c r="AE13" s="55"/>
      <c r="AF13" s="55"/>
      <c r="AG13" s="78">
        <f t="shared" si="5"/>
        <v>228</v>
      </c>
      <c r="AH13" s="55">
        <f>AG13</f>
        <v>228</v>
      </c>
      <c r="AI13" s="55"/>
      <c r="AJ13" s="55"/>
      <c r="AK13" s="287"/>
      <c r="AM13" s="286">
        <f>AA13</f>
        <v>215</v>
      </c>
      <c r="AN13" s="55">
        <v>13</v>
      </c>
      <c r="AO13" s="35"/>
      <c r="AP13" s="35"/>
      <c r="AQ13" s="35"/>
      <c r="AR13" s="35"/>
      <c r="AS13" s="78">
        <f t="shared" si="6"/>
        <v>228</v>
      </c>
      <c r="AT13" s="55">
        <f>AS13</f>
        <v>228</v>
      </c>
      <c r="AU13" s="35"/>
      <c r="AV13" s="35"/>
      <c r="AW13" s="307"/>
    </row>
    <row r="14" spans="1:50" s="94" customFormat="1" ht="45" customHeight="1" x14ac:dyDescent="0.15">
      <c r="A14" s="8"/>
      <c r="B14" s="12" t="s">
        <v>234</v>
      </c>
      <c r="C14" s="12"/>
      <c r="D14" s="12" t="s">
        <v>274</v>
      </c>
      <c r="E14" s="32" t="s">
        <v>273</v>
      </c>
      <c r="F14" s="29" t="s">
        <v>7</v>
      </c>
      <c r="G14" s="29" t="s">
        <v>385</v>
      </c>
      <c r="H14" s="29" t="s">
        <v>25</v>
      </c>
      <c r="I14" s="187" t="s">
        <v>107</v>
      </c>
      <c r="J14" s="298">
        <f>20*13</f>
        <v>260</v>
      </c>
      <c r="K14" s="29">
        <v>0</v>
      </c>
      <c r="L14" s="29">
        <v>260</v>
      </c>
      <c r="M14" s="295"/>
      <c r="N14" s="272"/>
      <c r="O14" s="245"/>
      <c r="P14" s="81"/>
      <c r="Q14" s="81">
        <v>130</v>
      </c>
      <c r="R14" s="81"/>
      <c r="S14" s="81"/>
      <c r="T14" s="81"/>
      <c r="U14" s="78">
        <f t="shared" si="4"/>
        <v>130</v>
      </c>
      <c r="V14" s="81"/>
      <c r="W14" s="81"/>
      <c r="X14" s="81">
        <v>130</v>
      </c>
      <c r="Y14" s="257"/>
      <c r="Z14" s="80"/>
      <c r="AA14" s="243"/>
      <c r="AB14" s="82">
        <f>P14</f>
        <v>0</v>
      </c>
      <c r="AC14" s="82">
        <v>130</v>
      </c>
      <c r="AD14" s="82"/>
      <c r="AE14" s="82"/>
      <c r="AF14" s="82"/>
      <c r="AG14" s="78">
        <f t="shared" si="5"/>
        <v>130</v>
      </c>
      <c r="AH14" s="81">
        <v>0</v>
      </c>
      <c r="AI14" s="81"/>
      <c r="AJ14" s="82">
        <v>130</v>
      </c>
      <c r="AK14" s="244"/>
      <c r="AL14" s="74"/>
      <c r="AM14" s="243"/>
      <c r="AN14" s="82"/>
      <c r="AO14" s="82"/>
      <c r="AP14" s="82"/>
      <c r="AQ14" s="82"/>
      <c r="AR14" s="82"/>
      <c r="AS14" s="78">
        <f t="shared" si="6"/>
        <v>0</v>
      </c>
      <c r="AT14" s="82"/>
      <c r="AU14" s="81"/>
      <c r="AV14" s="81"/>
      <c r="AW14" s="244"/>
    </row>
    <row r="15" spans="1:50" ht="48.75" customHeight="1" x14ac:dyDescent="0.15">
      <c r="A15" s="29"/>
      <c r="B15" s="7" t="s">
        <v>230</v>
      </c>
      <c r="C15" s="7"/>
      <c r="D15" s="32" t="s">
        <v>231</v>
      </c>
      <c r="E15" s="33" t="s">
        <v>275</v>
      </c>
      <c r="F15" s="29" t="s">
        <v>7</v>
      </c>
      <c r="G15" s="29" t="s">
        <v>94</v>
      </c>
      <c r="H15" s="29" t="s">
        <v>25</v>
      </c>
      <c r="I15" s="187" t="s">
        <v>106</v>
      </c>
      <c r="J15" s="298">
        <f>3*13*10</f>
        <v>390</v>
      </c>
      <c r="K15" s="29"/>
      <c r="L15" s="330">
        <v>390</v>
      </c>
      <c r="M15" s="295"/>
      <c r="N15" s="272"/>
      <c r="O15" s="286"/>
      <c r="P15" s="55"/>
      <c r="Q15" s="55">
        <v>260</v>
      </c>
      <c r="R15" s="55"/>
      <c r="S15" s="55"/>
      <c r="T15" s="55"/>
      <c r="U15" s="78">
        <f t="shared" si="4"/>
        <v>260</v>
      </c>
      <c r="V15" s="55"/>
      <c r="W15" s="55"/>
      <c r="X15" s="55">
        <v>260</v>
      </c>
      <c r="Y15" s="287"/>
      <c r="AA15" s="286"/>
      <c r="AB15" s="55"/>
      <c r="AC15" s="55">
        <v>130</v>
      </c>
      <c r="AD15" s="55"/>
      <c r="AE15" s="55"/>
      <c r="AF15" s="55"/>
      <c r="AG15" s="78">
        <f t="shared" si="5"/>
        <v>130</v>
      </c>
      <c r="AH15" s="55"/>
      <c r="AI15" s="55"/>
      <c r="AJ15" s="55">
        <v>130</v>
      </c>
      <c r="AK15" s="287"/>
      <c r="AM15" s="286"/>
      <c r="AN15" s="55"/>
      <c r="AO15" s="55"/>
      <c r="AP15" s="55"/>
      <c r="AQ15" s="55"/>
      <c r="AR15" s="55"/>
      <c r="AS15" s="78">
        <f t="shared" si="6"/>
        <v>0</v>
      </c>
      <c r="AT15" s="55"/>
      <c r="AU15" s="55"/>
      <c r="AV15" s="55"/>
      <c r="AW15" s="287"/>
    </row>
    <row r="16" spans="1:50" ht="39" x14ac:dyDescent="0.15">
      <c r="A16" s="43"/>
      <c r="B16" s="7" t="s">
        <v>276</v>
      </c>
      <c r="C16" s="7"/>
      <c r="D16" s="7" t="s">
        <v>59</v>
      </c>
      <c r="E16" s="33" t="s">
        <v>275</v>
      </c>
      <c r="F16" s="29" t="s">
        <v>7</v>
      </c>
      <c r="G16" s="29" t="s">
        <v>95</v>
      </c>
      <c r="H16" s="29" t="s">
        <v>23</v>
      </c>
      <c r="I16" s="187" t="s">
        <v>10</v>
      </c>
      <c r="J16" s="298">
        <f>3*13*10</f>
        <v>390</v>
      </c>
      <c r="K16" s="13"/>
      <c r="L16" s="13">
        <v>390</v>
      </c>
      <c r="M16" s="321"/>
      <c r="N16" s="272"/>
      <c r="O16" s="238"/>
      <c r="P16" s="78"/>
      <c r="Q16" s="78">
        <v>390</v>
      </c>
      <c r="R16" s="78"/>
      <c r="S16" s="78"/>
      <c r="T16" s="78"/>
      <c r="U16" s="78">
        <f t="shared" si="4"/>
        <v>390</v>
      </c>
      <c r="V16" s="78"/>
      <c r="W16" s="78"/>
      <c r="X16" s="78">
        <v>390</v>
      </c>
      <c r="Y16" s="240"/>
      <c r="Z16" s="80"/>
      <c r="AA16" s="238"/>
      <c r="AB16" s="78"/>
      <c r="AC16" s="78"/>
      <c r="AD16" s="78"/>
      <c r="AE16" s="78"/>
      <c r="AF16" s="78"/>
      <c r="AG16" s="78">
        <f t="shared" si="5"/>
        <v>0</v>
      </c>
      <c r="AH16" s="78"/>
      <c r="AI16" s="78"/>
      <c r="AJ16" s="78"/>
      <c r="AK16" s="240"/>
      <c r="AL16" s="80"/>
      <c r="AM16" s="238"/>
      <c r="AN16" s="78"/>
      <c r="AO16" s="78"/>
      <c r="AP16" s="78"/>
      <c r="AQ16" s="78"/>
      <c r="AR16" s="78"/>
      <c r="AS16" s="78">
        <f t="shared" si="6"/>
        <v>0</v>
      </c>
      <c r="AT16" s="78"/>
      <c r="AU16" s="78"/>
      <c r="AV16" s="78"/>
      <c r="AW16" s="240"/>
    </row>
    <row r="17" spans="1:49" ht="52" x14ac:dyDescent="0.15">
      <c r="A17" s="43"/>
      <c r="B17" s="7" t="s">
        <v>331</v>
      </c>
      <c r="C17" s="7"/>
      <c r="D17" s="7" t="s">
        <v>236</v>
      </c>
      <c r="E17" s="32" t="s">
        <v>240</v>
      </c>
      <c r="F17" s="29" t="s">
        <v>7</v>
      </c>
      <c r="G17" s="29" t="s">
        <v>95</v>
      </c>
      <c r="H17" s="29" t="s">
        <v>23</v>
      </c>
      <c r="I17" s="187" t="s">
        <v>10</v>
      </c>
      <c r="J17" s="331">
        <f>119+2*96</f>
        <v>311</v>
      </c>
      <c r="K17" s="13">
        <v>311</v>
      </c>
      <c r="L17" s="13"/>
      <c r="M17" s="321"/>
      <c r="N17" s="272"/>
      <c r="O17" s="238">
        <v>311</v>
      </c>
      <c r="P17" s="78"/>
      <c r="Q17" s="78"/>
      <c r="R17" s="78"/>
      <c r="S17" s="78"/>
      <c r="T17" s="78"/>
      <c r="U17" s="78">
        <f t="shared" si="4"/>
        <v>311</v>
      </c>
      <c r="V17" s="78">
        <v>311</v>
      </c>
      <c r="W17" s="78"/>
      <c r="X17" s="78"/>
      <c r="Y17" s="240"/>
      <c r="Z17" s="80"/>
      <c r="AA17" s="238"/>
      <c r="AB17" s="78"/>
      <c r="AC17" s="78"/>
      <c r="AD17" s="78"/>
      <c r="AE17" s="78"/>
      <c r="AF17" s="78"/>
      <c r="AG17" s="78">
        <f t="shared" si="5"/>
        <v>0</v>
      </c>
      <c r="AH17" s="78"/>
      <c r="AI17" s="78"/>
      <c r="AJ17" s="78"/>
      <c r="AK17" s="240"/>
      <c r="AL17" s="80"/>
      <c r="AM17" s="238"/>
      <c r="AN17" s="78"/>
      <c r="AO17" s="78"/>
      <c r="AP17" s="78"/>
      <c r="AQ17" s="78"/>
      <c r="AR17" s="78"/>
      <c r="AS17" s="78">
        <f t="shared" si="6"/>
        <v>0</v>
      </c>
      <c r="AT17" s="78"/>
      <c r="AU17" s="78"/>
      <c r="AV17" s="78"/>
      <c r="AW17" s="240"/>
    </row>
    <row r="18" spans="1:49" s="94" customFormat="1" ht="39" x14ac:dyDescent="0.15">
      <c r="A18" s="8"/>
      <c r="B18" s="41" t="s">
        <v>267</v>
      </c>
      <c r="C18" s="41"/>
      <c r="D18" s="12" t="s">
        <v>51</v>
      </c>
      <c r="E18" s="1" t="s">
        <v>279</v>
      </c>
      <c r="F18" s="29" t="s">
        <v>7</v>
      </c>
      <c r="G18" s="29" t="s">
        <v>99</v>
      </c>
      <c r="H18" s="29" t="s">
        <v>14</v>
      </c>
      <c r="I18" s="187" t="s">
        <v>109</v>
      </c>
      <c r="J18" s="298">
        <f>5*60</f>
        <v>300</v>
      </c>
      <c r="K18" s="29"/>
      <c r="L18" s="29">
        <f>J18</f>
        <v>300</v>
      </c>
      <c r="M18" s="295"/>
      <c r="N18" s="272"/>
      <c r="O18" s="308"/>
      <c r="P18" s="96">
        <f>35*2</f>
        <v>70</v>
      </c>
      <c r="Q18" s="96">
        <f>25*2</f>
        <v>50</v>
      </c>
      <c r="R18" s="96"/>
      <c r="S18" s="96"/>
      <c r="T18" s="96"/>
      <c r="U18" s="78">
        <f>SUM(O18:T18)</f>
        <v>120</v>
      </c>
      <c r="V18" s="96"/>
      <c r="W18" s="96"/>
      <c r="X18" s="96">
        <f>U18</f>
        <v>120</v>
      </c>
      <c r="Y18" s="309"/>
      <c r="Z18" s="74"/>
      <c r="AA18" s="308"/>
      <c r="AB18" s="96">
        <f>35*3</f>
        <v>105</v>
      </c>
      <c r="AC18" s="96">
        <f>25*3</f>
        <v>75</v>
      </c>
      <c r="AD18" s="96"/>
      <c r="AE18" s="96"/>
      <c r="AF18" s="96"/>
      <c r="AG18" s="78">
        <f>SUM(AA18:AF18)</f>
        <v>180</v>
      </c>
      <c r="AH18" s="96"/>
      <c r="AI18" s="96"/>
      <c r="AJ18" s="96">
        <v>180</v>
      </c>
      <c r="AK18" s="309"/>
      <c r="AL18" s="74"/>
      <c r="AM18" s="311"/>
      <c r="AN18" s="37"/>
      <c r="AO18" s="37"/>
      <c r="AP18" s="37"/>
      <c r="AQ18" s="37"/>
      <c r="AR18" s="37"/>
      <c r="AS18" s="78">
        <f>SUM(AM18:AR18)</f>
        <v>0</v>
      </c>
      <c r="AT18" s="37"/>
      <c r="AU18" s="37"/>
      <c r="AV18" s="37"/>
      <c r="AW18" s="312"/>
    </row>
    <row r="19" spans="1:49" ht="156" x14ac:dyDescent="0.15">
      <c r="A19" s="8"/>
      <c r="B19" s="33" t="s">
        <v>268</v>
      </c>
      <c r="C19" s="33"/>
      <c r="D19" s="7" t="s">
        <v>16</v>
      </c>
      <c r="E19" s="33" t="s">
        <v>174</v>
      </c>
      <c r="F19" s="29" t="s">
        <v>7</v>
      </c>
      <c r="G19" s="29" t="s">
        <v>153</v>
      </c>
      <c r="H19" s="29" t="s">
        <v>23</v>
      </c>
      <c r="I19" s="187" t="s">
        <v>12</v>
      </c>
      <c r="J19" s="298">
        <f>5*2*81*1+2*30*5.5+5*3</f>
        <v>1155</v>
      </c>
      <c r="K19" s="29">
        <f>J19</f>
        <v>1155</v>
      </c>
      <c r="L19" s="29"/>
      <c r="M19" s="295"/>
      <c r="N19" s="272"/>
      <c r="O19" s="238">
        <f>870/3</f>
        <v>290</v>
      </c>
      <c r="P19" s="82">
        <f>285/3</f>
        <v>95</v>
      </c>
      <c r="Q19" s="78"/>
      <c r="R19" s="78"/>
      <c r="S19" s="78"/>
      <c r="T19" s="78"/>
      <c r="U19" s="78">
        <f t="shared" ref="U19:U25" si="7">SUM(O19:T19)</f>
        <v>385</v>
      </c>
      <c r="V19" s="78">
        <v>385</v>
      </c>
      <c r="W19" s="78"/>
      <c r="X19" s="78"/>
      <c r="Y19" s="240"/>
      <c r="AA19" s="238">
        <f>O19</f>
        <v>290</v>
      </c>
      <c r="AB19" s="78">
        <f>P19</f>
        <v>95</v>
      </c>
      <c r="AC19" s="78"/>
      <c r="AD19" s="78"/>
      <c r="AE19" s="78"/>
      <c r="AF19" s="78"/>
      <c r="AG19" s="78">
        <f t="shared" ref="AG19:AG25" si="8">SUM(AA19:AF19)</f>
        <v>385</v>
      </c>
      <c r="AH19" s="78">
        <v>385</v>
      </c>
      <c r="AI19" s="78"/>
      <c r="AJ19" s="78"/>
      <c r="AK19" s="240"/>
      <c r="AM19" s="238">
        <f>AA19</f>
        <v>290</v>
      </c>
      <c r="AN19" s="82">
        <f>AB19</f>
        <v>95</v>
      </c>
      <c r="AO19" s="78"/>
      <c r="AP19" s="78"/>
      <c r="AQ19" s="78"/>
      <c r="AR19" s="78"/>
      <c r="AS19" s="78">
        <f t="shared" ref="AS19:AS25" si="9">SUM(AM19:AR19)</f>
        <v>385</v>
      </c>
      <c r="AT19" s="78">
        <v>385</v>
      </c>
      <c r="AU19" s="78"/>
      <c r="AV19" s="78"/>
      <c r="AW19" s="240"/>
    </row>
    <row r="20" spans="1:49" ht="91" x14ac:dyDescent="0.15">
      <c r="A20" s="8"/>
      <c r="B20" s="20" t="s">
        <v>269</v>
      </c>
      <c r="C20" s="1"/>
      <c r="D20" s="7" t="s">
        <v>16</v>
      </c>
      <c r="E20" s="1" t="s">
        <v>232</v>
      </c>
      <c r="F20" s="29" t="s">
        <v>7</v>
      </c>
      <c r="G20" s="19" t="s">
        <v>22</v>
      </c>
      <c r="H20" s="29" t="s">
        <v>116</v>
      </c>
      <c r="I20" s="187" t="s">
        <v>104</v>
      </c>
      <c r="J20" s="298">
        <f>3*15*13+300</f>
        <v>885</v>
      </c>
      <c r="K20" s="29"/>
      <c r="L20" s="29">
        <f>J20</f>
        <v>885</v>
      </c>
      <c r="M20" s="295"/>
      <c r="N20" s="272"/>
      <c r="O20" s="238"/>
      <c r="P20" s="78"/>
      <c r="Q20" s="78"/>
      <c r="R20" s="78"/>
      <c r="S20" s="78"/>
      <c r="T20" s="78"/>
      <c r="U20" s="79">
        <f>SUM(O20:T20)</f>
        <v>0</v>
      </c>
      <c r="V20" s="78"/>
      <c r="W20" s="78"/>
      <c r="X20" s="78">
        <v>0</v>
      </c>
      <c r="Y20" s="240"/>
      <c r="AA20" s="238"/>
      <c r="AB20" s="78">
        <v>300</v>
      </c>
      <c r="AC20" s="78">
        <f>3*15*13</f>
        <v>585</v>
      </c>
      <c r="AD20" s="78"/>
      <c r="AE20" s="78"/>
      <c r="AF20" s="78"/>
      <c r="AG20" s="78">
        <f t="shared" si="8"/>
        <v>885</v>
      </c>
      <c r="AH20" s="78"/>
      <c r="AI20" s="78"/>
      <c r="AJ20" s="78">
        <v>885</v>
      </c>
      <c r="AK20" s="240"/>
      <c r="AM20" s="238"/>
      <c r="AN20" s="78">
        <v>0</v>
      </c>
      <c r="AO20" s="78"/>
      <c r="AP20" s="78"/>
      <c r="AQ20" s="78"/>
      <c r="AR20" s="78"/>
      <c r="AS20" s="82">
        <f>SUM(AM20:AR20)</f>
        <v>0</v>
      </c>
      <c r="AT20" s="78">
        <f>AN20</f>
        <v>0</v>
      </c>
      <c r="AU20" s="78"/>
      <c r="AV20" s="78"/>
      <c r="AW20" s="240"/>
    </row>
    <row r="21" spans="1:49" s="94" customFormat="1" ht="39" x14ac:dyDescent="0.15">
      <c r="A21" s="29"/>
      <c r="B21" s="25" t="s">
        <v>386</v>
      </c>
      <c r="C21" s="25"/>
      <c r="D21" s="12" t="s">
        <v>16</v>
      </c>
      <c r="E21" s="1" t="s">
        <v>277</v>
      </c>
      <c r="F21" s="29" t="s">
        <v>7</v>
      </c>
      <c r="G21" s="29" t="s">
        <v>208</v>
      </c>
      <c r="H21" s="29" t="s">
        <v>238</v>
      </c>
      <c r="I21" s="187" t="s">
        <v>278</v>
      </c>
      <c r="J21" s="298">
        <f>4*60</f>
        <v>240</v>
      </c>
      <c r="K21" s="29">
        <v>0</v>
      </c>
      <c r="L21" s="29">
        <v>240</v>
      </c>
      <c r="M21" s="295"/>
      <c r="N21" s="272"/>
      <c r="O21" s="286"/>
      <c r="P21" s="55">
        <v>140</v>
      </c>
      <c r="Q21" s="55">
        <v>100</v>
      </c>
      <c r="R21" s="55"/>
      <c r="S21" s="55"/>
      <c r="T21" s="55"/>
      <c r="U21" s="78">
        <f>SUM(O21:T21)</f>
        <v>240</v>
      </c>
      <c r="V21" s="55"/>
      <c r="W21" s="55"/>
      <c r="X21" s="55">
        <v>240</v>
      </c>
      <c r="Y21" s="287"/>
      <c r="Z21" s="74"/>
      <c r="AA21" s="282"/>
      <c r="AB21" s="38"/>
      <c r="AC21" s="38"/>
      <c r="AD21" s="38"/>
      <c r="AE21" s="38"/>
      <c r="AF21" s="38"/>
      <c r="AG21" s="78">
        <f t="shared" si="8"/>
        <v>0</v>
      </c>
      <c r="AH21" s="38"/>
      <c r="AI21" s="38"/>
      <c r="AJ21" s="38"/>
      <c r="AK21" s="283"/>
      <c r="AL21" s="74"/>
      <c r="AM21" s="282"/>
      <c r="AN21" s="38"/>
      <c r="AO21" s="38"/>
      <c r="AP21" s="38"/>
      <c r="AQ21" s="38"/>
      <c r="AR21" s="38"/>
      <c r="AS21" s="78">
        <f>SUM(AM21:AR21)</f>
        <v>0</v>
      </c>
      <c r="AT21" s="38"/>
      <c r="AU21" s="38"/>
      <c r="AV21" s="38"/>
      <c r="AW21" s="283"/>
    </row>
    <row r="22" spans="1:49" s="94" customFormat="1" ht="44.25" customHeight="1" x14ac:dyDescent="0.15">
      <c r="A22" s="8"/>
      <c r="B22" s="12" t="s">
        <v>270</v>
      </c>
      <c r="C22" s="12"/>
      <c r="D22" s="12" t="s">
        <v>16</v>
      </c>
      <c r="E22" s="1" t="s">
        <v>279</v>
      </c>
      <c r="F22" s="29" t="s">
        <v>7</v>
      </c>
      <c r="G22" s="29" t="s">
        <v>95</v>
      </c>
      <c r="H22" s="29" t="s">
        <v>116</v>
      </c>
      <c r="I22" s="187" t="s">
        <v>104</v>
      </c>
      <c r="J22" s="298">
        <f>60*5</f>
        <v>300</v>
      </c>
      <c r="K22" s="29"/>
      <c r="L22" s="29">
        <v>300</v>
      </c>
      <c r="M22" s="295"/>
      <c r="N22" s="272"/>
      <c r="O22" s="308"/>
      <c r="P22" s="96"/>
      <c r="Q22" s="96"/>
      <c r="R22" s="96"/>
      <c r="S22" s="96"/>
      <c r="T22" s="96"/>
      <c r="U22" s="78"/>
      <c r="V22" s="96"/>
      <c r="W22" s="96"/>
      <c r="X22" s="96"/>
      <c r="Y22" s="309"/>
      <c r="Z22" s="74"/>
      <c r="AA22" s="308">
        <f>K22</f>
        <v>0</v>
      </c>
      <c r="AB22" s="96">
        <v>175</v>
      </c>
      <c r="AC22" s="96">
        <v>125</v>
      </c>
      <c r="AD22" s="96"/>
      <c r="AE22" s="96"/>
      <c r="AF22" s="96"/>
      <c r="AG22" s="78">
        <f t="shared" si="8"/>
        <v>300</v>
      </c>
      <c r="AH22" s="96"/>
      <c r="AI22" s="96"/>
      <c r="AJ22" s="96">
        <v>300</v>
      </c>
      <c r="AK22" s="309"/>
      <c r="AL22" s="74"/>
      <c r="AM22" s="311"/>
      <c r="AN22" s="37"/>
      <c r="AO22" s="37"/>
      <c r="AP22" s="37"/>
      <c r="AQ22" s="37"/>
      <c r="AR22" s="37"/>
      <c r="AS22" s="78">
        <f>SUM(AM22:AR22)</f>
        <v>0</v>
      </c>
      <c r="AT22" s="37"/>
      <c r="AU22" s="37"/>
      <c r="AV22" s="37"/>
      <c r="AW22" s="312"/>
    </row>
    <row r="23" spans="1:49" s="94" customFormat="1" ht="39" x14ac:dyDescent="0.15">
      <c r="A23" s="8"/>
      <c r="B23" s="12" t="s">
        <v>271</v>
      </c>
      <c r="C23" s="12"/>
      <c r="D23" s="12" t="s">
        <v>16</v>
      </c>
      <c r="E23" s="33" t="s">
        <v>280</v>
      </c>
      <c r="F23" s="29" t="s">
        <v>35</v>
      </c>
      <c r="G23" s="29" t="s">
        <v>101</v>
      </c>
      <c r="H23" s="29" t="s">
        <v>25</v>
      </c>
      <c r="I23" s="187" t="s">
        <v>104</v>
      </c>
      <c r="J23" s="298">
        <f>8*60</f>
        <v>480</v>
      </c>
      <c r="K23" s="29">
        <v>0</v>
      </c>
      <c r="L23" s="29">
        <v>480</v>
      </c>
      <c r="M23" s="295"/>
      <c r="N23" s="272"/>
      <c r="O23" s="238"/>
      <c r="P23" s="78">
        <f>2*35</f>
        <v>70</v>
      </c>
      <c r="Q23" s="81">
        <f>2*25</f>
        <v>50</v>
      </c>
      <c r="R23" s="81"/>
      <c r="S23" s="81"/>
      <c r="T23" s="81"/>
      <c r="U23" s="78">
        <f>SUM(O23:T23)</f>
        <v>120</v>
      </c>
      <c r="V23" s="82"/>
      <c r="W23" s="81"/>
      <c r="X23" s="81">
        <v>120</v>
      </c>
      <c r="Y23" s="244"/>
      <c r="Z23" s="74"/>
      <c r="AA23" s="245"/>
      <c r="AB23" s="78">
        <f>6*35</f>
        <v>210</v>
      </c>
      <c r="AC23" s="81">
        <f>6*25</f>
        <v>150</v>
      </c>
      <c r="AD23" s="81"/>
      <c r="AE23" s="81"/>
      <c r="AF23" s="81"/>
      <c r="AG23" s="78">
        <f t="shared" si="8"/>
        <v>360</v>
      </c>
      <c r="AH23" s="82"/>
      <c r="AI23" s="81"/>
      <c r="AJ23" s="82">
        <v>360</v>
      </c>
      <c r="AK23" s="244"/>
      <c r="AL23" s="74"/>
      <c r="AM23" s="245"/>
      <c r="AN23" s="78"/>
      <c r="AO23" s="81"/>
      <c r="AP23" s="81"/>
      <c r="AQ23" s="81"/>
      <c r="AR23" s="81"/>
      <c r="AS23" s="78">
        <f>SUM(AM23:AR23)</f>
        <v>0</v>
      </c>
      <c r="AT23" s="82"/>
      <c r="AU23" s="81"/>
      <c r="AV23" s="81"/>
      <c r="AW23" s="244"/>
    </row>
    <row r="24" spans="1:49" ht="55.5" customHeight="1" x14ac:dyDescent="0.15">
      <c r="A24" s="8"/>
      <c r="B24" s="33" t="s">
        <v>281</v>
      </c>
      <c r="C24" s="33"/>
      <c r="D24" s="1" t="s">
        <v>282</v>
      </c>
      <c r="E24" s="33" t="s">
        <v>283</v>
      </c>
      <c r="F24" s="29" t="s">
        <v>35</v>
      </c>
      <c r="G24" s="29" t="s">
        <v>153</v>
      </c>
      <c r="H24" s="29" t="s">
        <v>23</v>
      </c>
      <c r="I24" s="187" t="s">
        <v>239</v>
      </c>
      <c r="J24" s="298">
        <f>1*20*13+2*60</f>
        <v>380</v>
      </c>
      <c r="K24" s="29"/>
      <c r="L24" s="29">
        <f>J24</f>
        <v>380</v>
      </c>
      <c r="M24" s="295"/>
      <c r="N24" s="272"/>
      <c r="O24" s="238"/>
      <c r="P24" s="78">
        <f>2*35</f>
        <v>70</v>
      </c>
      <c r="Q24" s="78">
        <f>2*25+20*13</f>
        <v>310</v>
      </c>
      <c r="R24" s="78"/>
      <c r="S24" s="78"/>
      <c r="T24" s="78"/>
      <c r="U24" s="78">
        <f t="shared" si="7"/>
        <v>380</v>
      </c>
      <c r="V24" s="78"/>
      <c r="W24" s="78"/>
      <c r="X24" s="78">
        <v>380</v>
      </c>
      <c r="Y24" s="240"/>
      <c r="Z24" s="80"/>
      <c r="AA24" s="238"/>
      <c r="AB24" s="78"/>
      <c r="AC24" s="78"/>
      <c r="AD24" s="78"/>
      <c r="AE24" s="78"/>
      <c r="AF24" s="78"/>
      <c r="AG24" s="78">
        <f t="shared" si="8"/>
        <v>0</v>
      </c>
      <c r="AH24" s="78"/>
      <c r="AI24" s="78"/>
      <c r="AJ24" s="78"/>
      <c r="AK24" s="240"/>
      <c r="AL24" s="80"/>
      <c r="AM24" s="238"/>
      <c r="AN24" s="78"/>
      <c r="AO24" s="78"/>
      <c r="AP24" s="78"/>
      <c r="AQ24" s="78"/>
      <c r="AR24" s="78"/>
      <c r="AS24" s="78">
        <f t="shared" si="9"/>
        <v>0</v>
      </c>
      <c r="AT24" s="78"/>
      <c r="AU24" s="78"/>
      <c r="AV24" s="78">
        <f>AJ24</f>
        <v>0</v>
      </c>
      <c r="AW24" s="240"/>
    </row>
    <row r="25" spans="1:49" ht="26" x14ac:dyDescent="0.15">
      <c r="A25" s="8"/>
      <c r="B25" s="33" t="s">
        <v>387</v>
      </c>
      <c r="C25" s="33"/>
      <c r="D25" s="1" t="s">
        <v>237</v>
      </c>
      <c r="E25" s="1" t="s">
        <v>284</v>
      </c>
      <c r="F25" s="29" t="s">
        <v>7</v>
      </c>
      <c r="G25" s="29" t="s">
        <v>153</v>
      </c>
      <c r="H25" s="29" t="s">
        <v>23</v>
      </c>
      <c r="I25" s="187" t="s">
        <v>12</v>
      </c>
      <c r="J25" s="298">
        <f>3*20*2*13</f>
        <v>1560</v>
      </c>
      <c r="K25" s="29"/>
      <c r="L25" s="29">
        <f>J25</f>
        <v>1560</v>
      </c>
      <c r="M25" s="295"/>
      <c r="N25" s="272"/>
      <c r="O25" s="238"/>
      <c r="P25" s="78"/>
      <c r="Q25" s="78">
        <f>20*13*2</f>
        <v>520</v>
      </c>
      <c r="R25" s="78"/>
      <c r="S25" s="78"/>
      <c r="T25" s="78"/>
      <c r="U25" s="78">
        <f t="shared" si="7"/>
        <v>520</v>
      </c>
      <c r="V25" s="78"/>
      <c r="W25" s="78"/>
      <c r="X25" s="78">
        <f>U25</f>
        <v>520</v>
      </c>
      <c r="Y25" s="240"/>
      <c r="Z25" s="80"/>
      <c r="AA25" s="238"/>
      <c r="AB25" s="78"/>
      <c r="AC25" s="78">
        <f>Q25</f>
        <v>520</v>
      </c>
      <c r="AD25" s="78"/>
      <c r="AE25" s="78"/>
      <c r="AF25" s="78"/>
      <c r="AG25" s="78">
        <f t="shared" si="8"/>
        <v>520</v>
      </c>
      <c r="AH25" s="78"/>
      <c r="AI25" s="78"/>
      <c r="AJ25" s="78">
        <f>AG25</f>
        <v>520</v>
      </c>
      <c r="AK25" s="240"/>
      <c r="AL25" s="80"/>
      <c r="AM25" s="238"/>
      <c r="AN25" s="78"/>
      <c r="AO25" s="93">
        <f>AC25</f>
        <v>520</v>
      </c>
      <c r="AP25" s="78"/>
      <c r="AQ25" s="78"/>
      <c r="AR25" s="78"/>
      <c r="AS25" s="78">
        <f t="shared" si="9"/>
        <v>520</v>
      </c>
      <c r="AT25" s="78"/>
      <c r="AU25" s="78"/>
      <c r="AV25" s="78">
        <f>AS25</f>
        <v>520</v>
      </c>
      <c r="AW25" s="240"/>
    </row>
    <row r="26" spans="1:49" ht="26" x14ac:dyDescent="0.15">
      <c r="A26" s="138"/>
      <c r="B26" s="162" t="s">
        <v>363</v>
      </c>
      <c r="C26" s="162"/>
      <c r="D26" s="170"/>
      <c r="E26" s="170"/>
      <c r="F26" s="158"/>
      <c r="G26" s="158"/>
      <c r="H26" s="158"/>
      <c r="I26" s="260"/>
      <c r="J26" s="279">
        <f>SUM(J27:J31)</f>
        <v>2043</v>
      </c>
      <c r="K26" s="176">
        <f>SUM(K27:K31)</f>
        <v>753</v>
      </c>
      <c r="L26" s="176">
        <f>SUM(L27:L31)</f>
        <v>1290</v>
      </c>
      <c r="M26" s="280">
        <f>SUM(M27:M31)</f>
        <v>0</v>
      </c>
      <c r="N26" s="272"/>
      <c r="O26" s="279">
        <f t="shared" ref="O26:Y26" si="10">SUM(O27:O31)</f>
        <v>323</v>
      </c>
      <c r="P26" s="176">
        <f t="shared" si="10"/>
        <v>420</v>
      </c>
      <c r="Q26" s="176">
        <f t="shared" si="10"/>
        <v>230</v>
      </c>
      <c r="R26" s="176">
        <f t="shared" si="10"/>
        <v>0</v>
      </c>
      <c r="S26" s="176">
        <f t="shared" si="10"/>
        <v>0</v>
      </c>
      <c r="T26" s="176">
        <f t="shared" si="10"/>
        <v>0</v>
      </c>
      <c r="U26" s="176">
        <f t="shared" si="10"/>
        <v>973</v>
      </c>
      <c r="V26" s="176">
        <f t="shared" si="10"/>
        <v>323</v>
      </c>
      <c r="W26" s="351">
        <f t="shared" si="10"/>
        <v>0</v>
      </c>
      <c r="X26" s="176">
        <f t="shared" si="10"/>
        <v>780</v>
      </c>
      <c r="Y26" s="280">
        <f t="shared" si="10"/>
        <v>0</v>
      </c>
      <c r="Z26" s="273"/>
      <c r="AA26" s="279">
        <f t="shared" ref="AA26:AK26" si="11">SUM(AA27:AA31)</f>
        <v>215</v>
      </c>
      <c r="AB26" s="176">
        <f t="shared" si="11"/>
        <v>220</v>
      </c>
      <c r="AC26" s="176">
        <f t="shared" si="11"/>
        <v>100</v>
      </c>
      <c r="AD26" s="176">
        <f t="shared" si="11"/>
        <v>0</v>
      </c>
      <c r="AE26" s="176">
        <f t="shared" si="11"/>
        <v>0</v>
      </c>
      <c r="AF26" s="176">
        <f t="shared" si="11"/>
        <v>0</v>
      </c>
      <c r="AG26" s="176">
        <f t="shared" si="11"/>
        <v>535</v>
      </c>
      <c r="AH26" s="176">
        <f t="shared" si="11"/>
        <v>215</v>
      </c>
      <c r="AI26" s="176">
        <f t="shared" si="11"/>
        <v>0</v>
      </c>
      <c r="AJ26" s="176">
        <f t="shared" si="11"/>
        <v>320</v>
      </c>
      <c r="AK26" s="280">
        <f t="shared" si="11"/>
        <v>0</v>
      </c>
      <c r="AL26" s="273"/>
      <c r="AM26" s="279">
        <f t="shared" ref="AM26:AW26" si="12">SUM(AM27:AM31)</f>
        <v>215</v>
      </c>
      <c r="AN26" s="176">
        <f t="shared" si="12"/>
        <v>220</v>
      </c>
      <c r="AO26" s="176">
        <f t="shared" si="12"/>
        <v>100</v>
      </c>
      <c r="AP26" s="176">
        <f t="shared" si="12"/>
        <v>0</v>
      </c>
      <c r="AQ26" s="176">
        <f t="shared" si="12"/>
        <v>0</v>
      </c>
      <c r="AR26" s="176">
        <f t="shared" si="12"/>
        <v>0</v>
      </c>
      <c r="AS26" s="176">
        <f t="shared" si="12"/>
        <v>535</v>
      </c>
      <c r="AT26" s="176">
        <f t="shared" si="12"/>
        <v>215</v>
      </c>
      <c r="AU26" s="176">
        <f t="shared" si="12"/>
        <v>0</v>
      </c>
      <c r="AV26" s="176">
        <f t="shared" si="12"/>
        <v>320</v>
      </c>
      <c r="AW26" s="351">
        <f t="shared" si="12"/>
        <v>0</v>
      </c>
    </row>
    <row r="27" spans="1:49" ht="52.5" customHeight="1" x14ac:dyDescent="0.15">
      <c r="A27" s="29"/>
      <c r="B27" s="7" t="s">
        <v>440</v>
      </c>
      <c r="C27" s="7"/>
      <c r="D27" s="32" t="s">
        <v>151</v>
      </c>
      <c r="E27" s="33" t="s">
        <v>441</v>
      </c>
      <c r="F27" s="30" t="s">
        <v>7</v>
      </c>
      <c r="G27" s="30" t="s">
        <v>196</v>
      </c>
      <c r="H27" s="30" t="s">
        <v>23</v>
      </c>
      <c r="I27" s="195" t="s">
        <v>14</v>
      </c>
      <c r="J27" s="298">
        <f>2*5*13+120/2+96/2</f>
        <v>238</v>
      </c>
      <c r="K27" s="29">
        <f>J27-L27</f>
        <v>108</v>
      </c>
      <c r="L27" s="29">
        <f>2*5*13</f>
        <v>130</v>
      </c>
      <c r="M27" s="295"/>
      <c r="N27" s="272"/>
      <c r="O27" s="238">
        <f>K27</f>
        <v>108</v>
      </c>
      <c r="P27" s="81"/>
      <c r="Q27" s="81">
        <f>L27</f>
        <v>130</v>
      </c>
      <c r="R27" s="81"/>
      <c r="S27" s="81"/>
      <c r="T27" s="81"/>
      <c r="U27" s="82">
        <f t="shared" ref="U27:U31" si="13">SUM(O27:T27)</f>
        <v>238</v>
      </c>
      <c r="V27" s="82">
        <f>O27</f>
        <v>108</v>
      </c>
      <c r="W27" s="81"/>
      <c r="X27" s="81">
        <v>260</v>
      </c>
      <c r="Y27" s="244"/>
      <c r="AA27" s="243"/>
      <c r="AB27" s="81"/>
      <c r="AC27" s="81"/>
      <c r="AD27" s="81"/>
      <c r="AE27" s="81"/>
      <c r="AF27" s="81"/>
      <c r="AG27" s="96">
        <f t="shared" ref="AG27:AG31" si="14">SUM(AA27:AF27)</f>
        <v>0</v>
      </c>
      <c r="AH27" s="82"/>
      <c r="AI27" s="81"/>
      <c r="AJ27" s="82"/>
      <c r="AK27" s="244"/>
      <c r="AM27" s="243"/>
      <c r="AN27" s="82"/>
      <c r="AO27" s="81"/>
      <c r="AP27" s="81"/>
      <c r="AQ27" s="81"/>
      <c r="AR27" s="81"/>
      <c r="AS27" s="82">
        <f t="shared" ref="AS27:AS31" si="15">SUM(AM27:AR27)</f>
        <v>0</v>
      </c>
      <c r="AT27" s="81"/>
      <c r="AU27" s="81"/>
      <c r="AV27" s="81"/>
      <c r="AW27" s="244"/>
    </row>
    <row r="28" spans="1:49" ht="39" x14ac:dyDescent="0.15">
      <c r="A28" s="29"/>
      <c r="B28" s="7" t="s">
        <v>315</v>
      </c>
      <c r="C28" s="7"/>
      <c r="D28" s="32" t="s">
        <v>122</v>
      </c>
      <c r="E28" s="32" t="s">
        <v>285</v>
      </c>
      <c r="F28" s="30" t="s">
        <v>7</v>
      </c>
      <c r="G28" s="30" t="s">
        <v>388</v>
      </c>
      <c r="H28" s="30" t="s">
        <v>23</v>
      </c>
      <c r="I28" s="195" t="s">
        <v>241</v>
      </c>
      <c r="J28" s="298">
        <v>200</v>
      </c>
      <c r="K28" s="29"/>
      <c r="L28" s="29">
        <v>200</v>
      </c>
      <c r="M28" s="295"/>
      <c r="N28" s="272"/>
      <c r="O28" s="238"/>
      <c r="P28" s="78">
        <v>200</v>
      </c>
      <c r="Q28" s="78"/>
      <c r="R28" s="78"/>
      <c r="S28" s="78"/>
      <c r="T28" s="81"/>
      <c r="U28" s="82">
        <f t="shared" si="13"/>
        <v>200</v>
      </c>
      <c r="V28" s="82"/>
      <c r="W28" s="81"/>
      <c r="X28" s="81">
        <v>200</v>
      </c>
      <c r="Y28" s="244"/>
      <c r="AA28" s="245"/>
      <c r="AB28" s="82"/>
      <c r="AC28" s="81"/>
      <c r="AD28" s="81"/>
      <c r="AE28" s="81"/>
      <c r="AF28" s="81"/>
      <c r="AG28" s="96">
        <f t="shared" si="14"/>
        <v>0</v>
      </c>
      <c r="AH28" s="82"/>
      <c r="AI28" s="81"/>
      <c r="AJ28" s="82"/>
      <c r="AK28" s="244"/>
      <c r="AM28" s="245"/>
      <c r="AN28" s="82"/>
      <c r="AO28" s="81"/>
      <c r="AP28" s="81"/>
      <c r="AQ28" s="81"/>
      <c r="AR28" s="81"/>
      <c r="AS28" s="82">
        <f t="shared" si="15"/>
        <v>0</v>
      </c>
      <c r="AT28" s="82"/>
      <c r="AU28" s="81"/>
      <c r="AV28" s="81"/>
      <c r="AW28" s="244"/>
    </row>
    <row r="29" spans="1:49" ht="78" x14ac:dyDescent="0.15">
      <c r="A29" s="137"/>
      <c r="B29" s="33" t="s">
        <v>200</v>
      </c>
      <c r="C29" s="33"/>
      <c r="D29" s="32" t="s">
        <v>152</v>
      </c>
      <c r="E29" s="33" t="s">
        <v>286</v>
      </c>
      <c r="F29" s="29" t="s">
        <v>7</v>
      </c>
      <c r="G29" s="29" t="s">
        <v>196</v>
      </c>
      <c r="H29" s="29" t="s">
        <v>23</v>
      </c>
      <c r="I29" s="187" t="s">
        <v>12</v>
      </c>
      <c r="J29" s="298">
        <f>2*3*10</f>
        <v>60</v>
      </c>
      <c r="K29" s="30"/>
      <c r="L29" s="30">
        <v>60</v>
      </c>
      <c r="M29" s="320"/>
      <c r="N29" s="272"/>
      <c r="O29" s="245"/>
      <c r="P29" s="81">
        <f>J29/3</f>
        <v>20</v>
      </c>
      <c r="Q29" s="81"/>
      <c r="R29" s="81"/>
      <c r="S29" s="81"/>
      <c r="T29" s="81"/>
      <c r="U29" s="82">
        <f t="shared" si="13"/>
        <v>20</v>
      </c>
      <c r="V29" s="81"/>
      <c r="W29" s="81"/>
      <c r="X29" s="81">
        <v>20</v>
      </c>
      <c r="Y29" s="257"/>
      <c r="AA29" s="245"/>
      <c r="AB29" s="81">
        <f>P29</f>
        <v>20</v>
      </c>
      <c r="AC29" s="81"/>
      <c r="AD29" s="81"/>
      <c r="AE29" s="81"/>
      <c r="AF29" s="81"/>
      <c r="AG29" s="96">
        <f t="shared" si="14"/>
        <v>20</v>
      </c>
      <c r="AH29" s="81"/>
      <c r="AI29" s="81"/>
      <c r="AJ29" s="82">
        <v>20</v>
      </c>
      <c r="AK29" s="257"/>
      <c r="AM29" s="245"/>
      <c r="AN29" s="81">
        <f>AB29</f>
        <v>20</v>
      </c>
      <c r="AO29" s="81"/>
      <c r="AP29" s="81"/>
      <c r="AQ29" s="81"/>
      <c r="AR29" s="81"/>
      <c r="AS29" s="82">
        <f t="shared" si="15"/>
        <v>20</v>
      </c>
      <c r="AT29" s="81"/>
      <c r="AU29" s="81"/>
      <c r="AV29" s="81">
        <v>20</v>
      </c>
      <c r="AW29" s="257"/>
    </row>
    <row r="30" spans="1:49" ht="65" x14ac:dyDescent="0.15">
      <c r="A30" s="29"/>
      <c r="B30" s="7" t="s">
        <v>186</v>
      </c>
      <c r="C30" s="7"/>
      <c r="D30" s="32" t="s">
        <v>28</v>
      </c>
      <c r="E30" s="33" t="s">
        <v>242</v>
      </c>
      <c r="F30" s="30" t="s">
        <v>123</v>
      </c>
      <c r="G30" s="30" t="s">
        <v>195</v>
      </c>
      <c r="H30" s="30" t="s">
        <v>23</v>
      </c>
      <c r="I30" s="195" t="s">
        <v>12</v>
      </c>
      <c r="J30" s="298">
        <f>300*3</f>
        <v>900</v>
      </c>
      <c r="K30" s="29"/>
      <c r="L30" s="29">
        <v>900</v>
      </c>
      <c r="M30" s="295"/>
      <c r="N30" s="272"/>
      <c r="O30" s="245"/>
      <c r="P30" s="81">
        <v>200</v>
      </c>
      <c r="Q30" s="81">
        <v>100</v>
      </c>
      <c r="R30" s="81"/>
      <c r="S30" s="81"/>
      <c r="T30" s="81"/>
      <c r="U30" s="82">
        <f t="shared" si="13"/>
        <v>300</v>
      </c>
      <c r="V30" s="81"/>
      <c r="W30" s="81"/>
      <c r="X30" s="81">
        <v>300</v>
      </c>
      <c r="Y30" s="257"/>
      <c r="AA30" s="245"/>
      <c r="AB30" s="81">
        <f>P30</f>
        <v>200</v>
      </c>
      <c r="AC30" s="81">
        <v>100</v>
      </c>
      <c r="AD30" s="81"/>
      <c r="AE30" s="81"/>
      <c r="AF30" s="81"/>
      <c r="AG30" s="96">
        <f t="shared" si="14"/>
        <v>300</v>
      </c>
      <c r="AH30" s="81"/>
      <c r="AI30" s="81"/>
      <c r="AJ30" s="82">
        <v>300</v>
      </c>
      <c r="AK30" s="257"/>
      <c r="AM30" s="245"/>
      <c r="AN30" s="81">
        <f>AB30</f>
        <v>200</v>
      </c>
      <c r="AO30" s="81">
        <v>100</v>
      </c>
      <c r="AP30" s="81"/>
      <c r="AQ30" s="81"/>
      <c r="AR30" s="81"/>
      <c r="AS30" s="82">
        <f t="shared" si="15"/>
        <v>300</v>
      </c>
      <c r="AT30" s="81"/>
      <c r="AU30" s="81"/>
      <c r="AV30" s="81">
        <v>300</v>
      </c>
      <c r="AW30" s="257"/>
    </row>
    <row r="31" spans="1:49" ht="102.75" customHeight="1" thickBot="1" x14ac:dyDescent="0.2">
      <c r="A31" s="8"/>
      <c r="B31" s="41" t="s">
        <v>415</v>
      </c>
      <c r="C31" s="41"/>
      <c r="D31" s="12" t="s">
        <v>18</v>
      </c>
      <c r="E31" s="32" t="s">
        <v>416</v>
      </c>
      <c r="F31" s="29" t="s">
        <v>7</v>
      </c>
      <c r="G31" s="18" t="s">
        <v>72</v>
      </c>
      <c r="H31" s="29" t="s">
        <v>14</v>
      </c>
      <c r="I31" s="187" t="s">
        <v>12</v>
      </c>
      <c r="J31" s="322">
        <f>119*3+96*3</f>
        <v>645</v>
      </c>
      <c r="K31" s="322">
        <f>119*3+96*3</f>
        <v>645</v>
      </c>
      <c r="L31" s="29"/>
      <c r="M31" s="295"/>
      <c r="N31" s="272"/>
      <c r="O31" s="245">
        <f>K31/3</f>
        <v>215</v>
      </c>
      <c r="P31" s="81"/>
      <c r="Q31" s="81"/>
      <c r="R31" s="81"/>
      <c r="S31" s="81"/>
      <c r="T31" s="81"/>
      <c r="U31" s="82">
        <f t="shared" si="13"/>
        <v>215</v>
      </c>
      <c r="V31" s="82">
        <f>U31</f>
        <v>215</v>
      </c>
      <c r="W31" s="81"/>
      <c r="X31" s="81"/>
      <c r="Y31" s="257"/>
      <c r="AA31" s="245">
        <f>O31</f>
        <v>215</v>
      </c>
      <c r="AB31" s="81"/>
      <c r="AC31" s="81"/>
      <c r="AD31" s="81"/>
      <c r="AE31" s="81"/>
      <c r="AF31" s="81"/>
      <c r="AG31" s="96">
        <f t="shared" si="14"/>
        <v>215</v>
      </c>
      <c r="AH31" s="82">
        <f>AG31</f>
        <v>215</v>
      </c>
      <c r="AI31" s="81"/>
      <c r="AJ31" s="82"/>
      <c r="AK31" s="257"/>
      <c r="AM31" s="245">
        <f>AA31</f>
        <v>215</v>
      </c>
      <c r="AN31" s="81"/>
      <c r="AO31" s="81"/>
      <c r="AP31" s="81"/>
      <c r="AQ31" s="81"/>
      <c r="AR31" s="81"/>
      <c r="AS31" s="82">
        <f t="shared" si="15"/>
        <v>215</v>
      </c>
      <c r="AT31" s="82">
        <f>AS31</f>
        <v>215</v>
      </c>
      <c r="AU31" s="81"/>
      <c r="AV31" s="81"/>
      <c r="AW31" s="257"/>
    </row>
    <row r="32" spans="1:49" x14ac:dyDescent="0.15"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AA32" s="74"/>
      <c r="AB32" s="74"/>
      <c r="AC32" s="74"/>
      <c r="AD32" s="74"/>
      <c r="AE32" s="74"/>
      <c r="AF32" s="74"/>
      <c r="AG32" s="74"/>
      <c r="AH32" s="74"/>
      <c r="AI32" s="74"/>
      <c r="AJ32" s="85"/>
      <c r="AK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15:49" x14ac:dyDescent="0.15">
      <c r="O33" s="74"/>
      <c r="P33" s="74"/>
      <c r="Q33" s="74"/>
      <c r="R33" s="80"/>
      <c r="S33" s="74"/>
      <c r="T33" s="85"/>
      <c r="U33" s="85"/>
      <c r="V33" s="85"/>
      <c r="W33" s="74"/>
      <c r="X33" s="74"/>
      <c r="Y33" s="85"/>
      <c r="AA33" s="74"/>
      <c r="AB33" s="74"/>
      <c r="AC33" s="74"/>
      <c r="AD33" s="85"/>
      <c r="AE33" s="74"/>
      <c r="AF33" s="74"/>
      <c r="AG33" s="80"/>
      <c r="AH33" s="80"/>
      <c r="AI33" s="74"/>
      <c r="AJ33" s="85"/>
      <c r="AK33" s="85"/>
      <c r="AM33" s="74"/>
      <c r="AN33" s="74"/>
      <c r="AO33" s="74"/>
      <c r="AP33" s="80"/>
      <c r="AQ33" s="74"/>
      <c r="AR33" s="74"/>
      <c r="AS33" s="85"/>
      <c r="AT33" s="85"/>
      <c r="AU33" s="74"/>
      <c r="AV33" s="74"/>
      <c r="AW33" s="85"/>
    </row>
    <row r="34" spans="15:49" x14ac:dyDescent="0.15"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AA34" s="74"/>
      <c r="AB34" s="74"/>
      <c r="AC34" s="74"/>
      <c r="AD34" s="74"/>
      <c r="AE34" s="74"/>
      <c r="AF34" s="74"/>
      <c r="AG34" s="74"/>
      <c r="AH34" s="74"/>
      <c r="AI34" s="74"/>
      <c r="AJ34" s="85"/>
      <c r="AK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8" spans="15:49" x14ac:dyDescent="0.15">
      <c r="O38" s="86"/>
      <c r="P38" s="74"/>
      <c r="Q38" s="74"/>
      <c r="R38" s="74"/>
      <c r="S38" s="74"/>
      <c r="T38" s="74"/>
      <c r="U38" s="74"/>
      <c r="V38" s="74"/>
      <c r="W38" s="74"/>
      <c r="X38" s="74"/>
      <c r="Y38" s="74"/>
      <c r="AA38" s="80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15:49" x14ac:dyDescent="0.15"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  <row r="40" spans="15:49" x14ac:dyDescent="0.15"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</row>
    <row r="41" spans="15:49" x14ac:dyDescent="0.15"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</row>
    <row r="42" spans="15:49" x14ac:dyDescent="0.15"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</row>
    <row r="43" spans="15:49" x14ac:dyDescent="0.15"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</row>
    <row r="44" spans="15:49" x14ac:dyDescent="0.15"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</row>
    <row r="45" spans="15:49" x14ac:dyDescent="0.15"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</row>
    <row r="46" spans="15:49" x14ac:dyDescent="0.15"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</row>
    <row r="47" spans="15:49" x14ac:dyDescent="0.15"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</row>
    <row r="48" spans="15:49" x14ac:dyDescent="0.15"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</row>
    <row r="49" spans="15:49" x14ac:dyDescent="0.15"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</row>
    <row r="50" spans="15:49" x14ac:dyDescent="0.15"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</row>
    <row r="51" spans="15:49" x14ac:dyDescent="0.15"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</row>
    <row r="52" spans="15:49" x14ac:dyDescent="0.15"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</row>
    <row r="53" spans="15:49" x14ac:dyDescent="0.15"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</row>
    <row r="54" spans="15:49" x14ac:dyDescent="0.15"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</row>
    <row r="55" spans="15:49" x14ac:dyDescent="0.15"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</row>
    <row r="56" spans="15:49" x14ac:dyDescent="0.15"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</row>
    <row r="57" spans="15:49" x14ac:dyDescent="0.15"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</row>
    <row r="58" spans="15:49" x14ac:dyDescent="0.15"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</row>
    <row r="59" spans="15:49" x14ac:dyDescent="0.15"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</row>
    <row r="60" spans="15:49" x14ac:dyDescent="0.15"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</row>
    <row r="61" spans="15:49" x14ac:dyDescent="0.15"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</row>
    <row r="62" spans="15:49" x14ac:dyDescent="0.15"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</row>
    <row r="63" spans="15:49" x14ac:dyDescent="0.15"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</row>
    <row r="64" spans="15:49" x14ac:dyDescent="0.15"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</row>
    <row r="65" spans="15:49" x14ac:dyDescent="0.15"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</row>
    <row r="66" spans="15:49" x14ac:dyDescent="0.15"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</row>
    <row r="67" spans="15:49" x14ac:dyDescent="0.15"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5:49" x14ac:dyDescent="0.15"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</row>
    <row r="69" spans="15:49" x14ac:dyDescent="0.15"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</row>
    <row r="70" spans="15:49" x14ac:dyDescent="0.15"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</row>
    <row r="71" spans="15:49" x14ac:dyDescent="0.15"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</row>
    <row r="72" spans="15:49" x14ac:dyDescent="0.15"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</row>
    <row r="73" spans="15:49" x14ac:dyDescent="0.15"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</row>
    <row r="74" spans="15:49" x14ac:dyDescent="0.15"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</row>
    <row r="75" spans="15:49" x14ac:dyDescent="0.15"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</row>
    <row r="76" spans="15:49" x14ac:dyDescent="0.15"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</row>
    <row r="77" spans="15:49" x14ac:dyDescent="0.15"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</row>
    <row r="78" spans="15:49" x14ac:dyDescent="0.15"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</row>
    <row r="79" spans="15:49" x14ac:dyDescent="0.15"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</row>
    <row r="80" spans="15:49" x14ac:dyDescent="0.15"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</row>
    <row r="81" spans="15:49" x14ac:dyDescent="0.15"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</row>
    <row r="82" spans="15:49" x14ac:dyDescent="0.15"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</row>
    <row r="83" spans="15:49" x14ac:dyDescent="0.15"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</row>
    <row r="84" spans="15:49" x14ac:dyDescent="0.15"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</row>
    <row r="85" spans="15:49" x14ac:dyDescent="0.15"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</row>
    <row r="86" spans="15:49" x14ac:dyDescent="0.15"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</row>
    <row r="87" spans="15:49" x14ac:dyDescent="0.15"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</row>
    <row r="88" spans="15:49" x14ac:dyDescent="0.15"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</row>
    <row r="89" spans="15:49" x14ac:dyDescent="0.15"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</row>
    <row r="90" spans="15:49" x14ac:dyDescent="0.15"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</row>
    <row r="91" spans="15:49" x14ac:dyDescent="0.15"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</row>
    <row r="92" spans="15:49" x14ac:dyDescent="0.15"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</row>
    <row r="93" spans="15:49" x14ac:dyDescent="0.15"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</row>
    <row r="94" spans="15:49" x14ac:dyDescent="0.15"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</row>
    <row r="95" spans="15:49" x14ac:dyDescent="0.15"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</row>
    <row r="96" spans="15:49" x14ac:dyDescent="0.15"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</row>
    <row r="97" spans="15:49" x14ac:dyDescent="0.15"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</row>
    <row r="98" spans="15:49" x14ac:dyDescent="0.15"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</row>
    <row r="99" spans="15:49" x14ac:dyDescent="0.15"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</row>
    <row r="100" spans="15:49" x14ac:dyDescent="0.15"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</row>
    <row r="101" spans="15:49" x14ac:dyDescent="0.15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5:49" x14ac:dyDescent="0.15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5:49" x14ac:dyDescent="0.15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5:49" x14ac:dyDescent="0.15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5:49" x14ac:dyDescent="0.15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5:49" x14ac:dyDescent="0.15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</sheetData>
  <customSheetViews>
    <customSheetView guid="{033B3830-A9CA-8D41-BC84-D742977C4300}" scale="86">
      <selection activeCell="H8" sqref="H8"/>
      <pageMargins left="0.7" right="0.7" top="0.75" bottom="0.75" header="0.3" footer="0.3"/>
    </customSheetView>
    <customSheetView guid="{694CA80F-83B4-4B42-A82F-AA4B9565E59A}" scale="86" topLeftCell="AD8">
      <selection activeCell="AW10" sqref="AW10"/>
      <pageMargins left="0.7" right="0.7" top="0.75" bottom="0.75" header="0.3" footer="0.3"/>
    </customSheetView>
    <customSheetView guid="{072E7775-6D14-894A-BE79-51AE1E53E486}" scale="150" topLeftCell="A9">
      <selection activeCell="G11" sqref="G11"/>
      <pageMargins left="0.7" right="0.7" top="0.75" bottom="0.75" header="0.3" footer="0.3"/>
    </customSheetView>
  </customSheetViews>
  <mergeCells count="17">
    <mergeCell ref="A2:M2"/>
    <mergeCell ref="A3:M3"/>
    <mergeCell ref="A4:M4"/>
    <mergeCell ref="A5:M5"/>
    <mergeCell ref="A6:A7"/>
    <mergeCell ref="B6:B7"/>
    <mergeCell ref="D6:D7"/>
    <mergeCell ref="F6:G6"/>
    <mergeCell ref="H6:I6"/>
    <mergeCell ref="J6:J7"/>
    <mergeCell ref="A9:B9"/>
    <mergeCell ref="K6:L6"/>
    <mergeCell ref="M6:M7"/>
    <mergeCell ref="O7:Y7"/>
    <mergeCell ref="AM7:AW7"/>
    <mergeCell ref="B8:D8"/>
    <mergeCell ref="AA7:A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1"/>
  <sheetViews>
    <sheetView showGridLines="0" topLeftCell="AG7" zoomScale="96" zoomScaleNormal="96" zoomScalePageLayoutView="150" workbookViewId="0">
      <selection activeCell="A12" sqref="A12"/>
    </sheetView>
  </sheetViews>
  <sheetFormatPr baseColWidth="10" defaultColWidth="8.83203125" defaultRowHeight="13" x14ac:dyDescent="0.15"/>
  <cols>
    <col min="1" max="1" width="8.83203125" style="65"/>
    <col min="2" max="2" width="59.5" style="65" customWidth="1"/>
    <col min="3" max="3" width="15.83203125" style="65" customWidth="1"/>
    <col min="4" max="5" width="19.1640625" style="65" customWidth="1"/>
    <col min="6" max="6" width="16.5" style="65" customWidth="1"/>
    <col min="7" max="7" width="36" style="65" customWidth="1"/>
    <col min="8" max="8" width="15.6640625" style="65" customWidth="1"/>
    <col min="9" max="9" width="14.6640625" style="65" customWidth="1"/>
    <col min="10" max="10" width="13.1640625" style="133" customWidth="1"/>
    <col min="11" max="11" width="13.33203125" style="65" customWidth="1"/>
    <col min="12" max="12" width="12.5" style="65" customWidth="1"/>
    <col min="13" max="13" width="12.1640625" style="65" customWidth="1"/>
    <col min="14" max="14" width="12.1640625" style="74" customWidth="1"/>
    <col min="15" max="25" width="12.1640625" style="3" customWidth="1"/>
    <col min="26" max="26" width="12.1640625" style="74" customWidth="1"/>
    <col min="27" max="37" width="12.1640625" style="3" customWidth="1"/>
    <col min="38" max="38" width="12.1640625" style="74" customWidth="1"/>
    <col min="39" max="49" width="12.1640625" style="3" customWidth="1"/>
    <col min="50" max="16384" width="8.83203125" style="65"/>
  </cols>
  <sheetData>
    <row r="1" spans="1:50" x14ac:dyDescent="0.15">
      <c r="A1" s="58"/>
      <c r="B1" s="58" t="s">
        <v>3</v>
      </c>
      <c r="C1" s="58"/>
      <c r="D1" s="58"/>
      <c r="E1" s="58"/>
      <c r="F1" s="58"/>
      <c r="G1" s="59"/>
      <c r="H1" s="59"/>
      <c r="I1" s="59"/>
      <c r="J1" s="127"/>
      <c r="K1" s="59"/>
      <c r="L1" s="59"/>
      <c r="M1" s="59"/>
    </row>
    <row r="2" spans="1:50" x14ac:dyDescent="0.15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50" x14ac:dyDescent="0.15">
      <c r="A3" s="396" t="s">
        <v>134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T3" s="66"/>
      <c r="AE3" s="67"/>
    </row>
    <row r="4" spans="1:50" ht="24" customHeight="1" x14ac:dyDescent="0.15">
      <c r="A4" s="396" t="s">
        <v>453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T4" s="68"/>
      <c r="AS4" s="67"/>
    </row>
    <row r="5" spans="1:50" ht="14" thickBot="1" x14ac:dyDescent="0.2">
      <c r="A5" s="400" t="s">
        <v>135</v>
      </c>
      <c r="B5" s="400"/>
      <c r="C5" s="400"/>
      <c r="D5" s="400"/>
      <c r="E5" s="400"/>
      <c r="F5" s="400"/>
      <c r="G5" s="400"/>
      <c r="H5" s="400"/>
      <c r="I5" s="400"/>
      <c r="J5" s="401"/>
      <c r="K5" s="401"/>
      <c r="L5" s="401"/>
      <c r="M5" s="401"/>
      <c r="N5" s="85"/>
      <c r="U5" s="67"/>
    </row>
    <row r="6" spans="1:50" ht="16" customHeight="1" thickBot="1" x14ac:dyDescent="0.2">
      <c r="A6" s="375" t="s">
        <v>5</v>
      </c>
      <c r="B6" s="353"/>
      <c r="C6" s="43"/>
      <c r="D6" s="353" t="s">
        <v>178</v>
      </c>
      <c r="E6" s="43"/>
      <c r="F6" s="353" t="s">
        <v>64</v>
      </c>
      <c r="G6" s="353"/>
      <c r="H6" s="353" t="s">
        <v>8</v>
      </c>
      <c r="I6" s="354"/>
      <c r="J6" s="402" t="s">
        <v>65</v>
      </c>
      <c r="K6" s="393" t="s">
        <v>0</v>
      </c>
      <c r="L6" s="393"/>
      <c r="M6" s="394" t="s">
        <v>66</v>
      </c>
      <c r="N6" s="80"/>
      <c r="U6" s="69"/>
    </row>
    <row r="7" spans="1:50" ht="52" x14ac:dyDescent="0.15">
      <c r="A7" s="375"/>
      <c r="B7" s="353"/>
      <c r="C7" s="53" t="s">
        <v>6</v>
      </c>
      <c r="D7" s="353"/>
      <c r="E7" s="43" t="s">
        <v>172</v>
      </c>
      <c r="F7" s="13" t="s">
        <v>67</v>
      </c>
      <c r="G7" s="13" t="s">
        <v>68</v>
      </c>
      <c r="H7" s="43" t="s">
        <v>1</v>
      </c>
      <c r="I7" s="186" t="s">
        <v>2</v>
      </c>
      <c r="J7" s="403"/>
      <c r="K7" s="43" t="s">
        <v>69</v>
      </c>
      <c r="L7" s="43" t="s">
        <v>136</v>
      </c>
      <c r="M7" s="395"/>
      <c r="O7" s="383" t="s">
        <v>156</v>
      </c>
      <c r="P7" s="384"/>
      <c r="Q7" s="384"/>
      <c r="R7" s="384"/>
      <c r="S7" s="384"/>
      <c r="T7" s="384"/>
      <c r="U7" s="384"/>
      <c r="V7" s="384"/>
      <c r="W7" s="384"/>
      <c r="X7" s="384"/>
      <c r="Y7" s="385"/>
      <c r="AA7" s="386" t="s">
        <v>157</v>
      </c>
      <c r="AB7" s="387"/>
      <c r="AC7" s="387"/>
      <c r="AD7" s="387"/>
      <c r="AE7" s="387"/>
      <c r="AF7" s="387"/>
      <c r="AG7" s="387"/>
      <c r="AH7" s="387"/>
      <c r="AI7" s="387"/>
      <c r="AJ7" s="387"/>
      <c r="AK7" s="388"/>
      <c r="AM7" s="389" t="s">
        <v>158</v>
      </c>
      <c r="AN7" s="390"/>
      <c r="AO7" s="390"/>
      <c r="AP7" s="390"/>
      <c r="AQ7" s="390"/>
      <c r="AR7" s="390"/>
      <c r="AS7" s="390"/>
      <c r="AT7" s="390"/>
      <c r="AU7" s="390"/>
      <c r="AV7" s="390"/>
      <c r="AW7" s="391"/>
    </row>
    <row r="8" spans="1:50" ht="26.25" customHeight="1" x14ac:dyDescent="0.15">
      <c r="A8" s="8"/>
      <c r="B8" s="392" t="s">
        <v>137</v>
      </c>
      <c r="C8" s="392"/>
      <c r="D8" s="392"/>
      <c r="E8" s="42"/>
      <c r="F8" s="29" t="s">
        <v>7</v>
      </c>
      <c r="G8" s="29" t="s">
        <v>138</v>
      </c>
      <c r="H8" s="29"/>
      <c r="I8" s="187"/>
      <c r="J8" s="261"/>
      <c r="K8" s="11"/>
      <c r="L8" s="11"/>
      <c r="M8" s="262"/>
      <c r="O8" s="252" t="s">
        <v>159</v>
      </c>
      <c r="P8" s="61" t="s">
        <v>160</v>
      </c>
      <c r="Q8" s="61" t="s">
        <v>161</v>
      </c>
      <c r="R8" s="61" t="s">
        <v>216</v>
      </c>
      <c r="S8" s="61" t="s">
        <v>162</v>
      </c>
      <c r="T8" s="61" t="s">
        <v>163</v>
      </c>
      <c r="U8" s="61" t="s">
        <v>164</v>
      </c>
      <c r="V8" s="61" t="s">
        <v>165</v>
      </c>
      <c r="W8" s="61" t="s">
        <v>166</v>
      </c>
      <c r="X8" s="61" t="s">
        <v>167</v>
      </c>
      <c r="Y8" s="253" t="s">
        <v>168</v>
      </c>
      <c r="AA8" s="250" t="s">
        <v>159</v>
      </c>
      <c r="AB8" s="62" t="s">
        <v>160</v>
      </c>
      <c r="AC8" s="62" t="s">
        <v>161</v>
      </c>
      <c r="AD8" s="62" t="s">
        <v>216</v>
      </c>
      <c r="AE8" s="62" t="s">
        <v>162</v>
      </c>
      <c r="AF8" s="62" t="s">
        <v>163</v>
      </c>
      <c r="AG8" s="62" t="s">
        <v>164</v>
      </c>
      <c r="AH8" s="62" t="s">
        <v>165</v>
      </c>
      <c r="AI8" s="62" t="s">
        <v>169</v>
      </c>
      <c r="AJ8" s="62" t="s">
        <v>167</v>
      </c>
      <c r="AK8" s="251" t="s">
        <v>168</v>
      </c>
      <c r="AM8" s="231" t="s">
        <v>159</v>
      </c>
      <c r="AN8" s="63" t="s">
        <v>160</v>
      </c>
      <c r="AO8" s="63" t="s">
        <v>161</v>
      </c>
      <c r="AP8" s="63" t="s">
        <v>216</v>
      </c>
      <c r="AQ8" s="63" t="s">
        <v>162</v>
      </c>
      <c r="AR8" s="63" t="s">
        <v>163</v>
      </c>
      <c r="AS8" s="63" t="s">
        <v>164</v>
      </c>
      <c r="AT8" s="63" t="s">
        <v>165</v>
      </c>
      <c r="AU8" s="63" t="s">
        <v>170</v>
      </c>
      <c r="AV8" s="63" t="s">
        <v>167</v>
      </c>
      <c r="AW8" s="232" t="s">
        <v>168</v>
      </c>
    </row>
    <row r="9" spans="1:50" s="3" customFormat="1" ht="26.25" customHeight="1" x14ac:dyDescent="0.2">
      <c r="A9" s="382" t="s">
        <v>171</v>
      </c>
      <c r="B9" s="382"/>
      <c r="C9" s="70"/>
      <c r="D9" s="71"/>
      <c r="E9" s="71"/>
      <c r="F9" s="71"/>
      <c r="G9" s="71"/>
      <c r="H9" s="72"/>
      <c r="I9" s="259"/>
      <c r="J9" s="196">
        <f>J10</f>
        <v>4243</v>
      </c>
      <c r="K9" s="73">
        <f t="shared" ref="K9:AW9" si="0">K10</f>
        <v>1505</v>
      </c>
      <c r="L9" s="73">
        <f t="shared" si="0"/>
        <v>2738</v>
      </c>
      <c r="M9" s="233">
        <f t="shared" si="0"/>
        <v>0</v>
      </c>
      <c r="N9" s="227"/>
      <c r="O9" s="196">
        <f t="shared" si="0"/>
        <v>283</v>
      </c>
      <c r="P9" s="73">
        <f t="shared" si="0"/>
        <v>232</v>
      </c>
      <c r="Q9" s="73">
        <f t="shared" si="0"/>
        <v>546</v>
      </c>
      <c r="R9" s="73">
        <f t="shared" si="0"/>
        <v>0</v>
      </c>
      <c r="S9" s="73">
        <f t="shared" si="0"/>
        <v>0</v>
      </c>
      <c r="T9" s="73">
        <f t="shared" si="0"/>
        <v>0</v>
      </c>
      <c r="U9" s="73">
        <f t="shared" si="0"/>
        <v>1061</v>
      </c>
      <c r="V9" s="73">
        <f t="shared" si="0"/>
        <v>283</v>
      </c>
      <c r="W9" s="73">
        <f t="shared" si="0"/>
        <v>0</v>
      </c>
      <c r="X9" s="73">
        <f t="shared" si="0"/>
        <v>778</v>
      </c>
      <c r="Y9" s="233">
        <f t="shared" si="0"/>
        <v>0</v>
      </c>
      <c r="Z9" s="227"/>
      <c r="AA9" s="196">
        <f t="shared" si="0"/>
        <v>611</v>
      </c>
      <c r="AB9" s="73">
        <f t="shared" si="0"/>
        <v>226</v>
      </c>
      <c r="AC9" s="73">
        <f t="shared" si="0"/>
        <v>754</v>
      </c>
      <c r="AD9" s="73">
        <f t="shared" si="0"/>
        <v>0</v>
      </c>
      <c r="AE9" s="73">
        <f t="shared" si="0"/>
        <v>0</v>
      </c>
      <c r="AF9" s="73">
        <f t="shared" si="0"/>
        <v>0</v>
      </c>
      <c r="AG9" s="73">
        <f t="shared" si="0"/>
        <v>1591</v>
      </c>
      <c r="AH9" s="73">
        <f t="shared" si="0"/>
        <v>611</v>
      </c>
      <c r="AI9" s="73">
        <f t="shared" si="0"/>
        <v>0</v>
      </c>
      <c r="AJ9" s="73">
        <f t="shared" si="0"/>
        <v>980</v>
      </c>
      <c r="AK9" s="233">
        <f t="shared" si="0"/>
        <v>0</v>
      </c>
      <c r="AL9" s="227"/>
      <c r="AM9" s="196">
        <f t="shared" si="0"/>
        <v>611</v>
      </c>
      <c r="AN9" s="73">
        <f t="shared" si="0"/>
        <v>226</v>
      </c>
      <c r="AO9" s="73">
        <f t="shared" si="0"/>
        <v>754</v>
      </c>
      <c r="AP9" s="73">
        <f t="shared" si="0"/>
        <v>0</v>
      </c>
      <c r="AQ9" s="73">
        <f t="shared" si="0"/>
        <v>0</v>
      </c>
      <c r="AR9" s="73">
        <f t="shared" si="0"/>
        <v>0</v>
      </c>
      <c r="AS9" s="73">
        <f t="shared" si="0"/>
        <v>1591</v>
      </c>
      <c r="AT9" s="73">
        <f t="shared" si="0"/>
        <v>611</v>
      </c>
      <c r="AU9" s="73">
        <f t="shared" si="0"/>
        <v>0</v>
      </c>
      <c r="AV9" s="73">
        <f t="shared" si="0"/>
        <v>980</v>
      </c>
      <c r="AW9" s="73">
        <f t="shared" si="0"/>
        <v>0</v>
      </c>
      <c r="AX9" s="64"/>
    </row>
    <row r="10" spans="1:50" s="104" customFormat="1" ht="83" customHeight="1" x14ac:dyDescent="0.15">
      <c r="A10" s="46">
        <v>5</v>
      </c>
      <c r="B10" s="173" t="s">
        <v>251</v>
      </c>
      <c r="C10" s="173"/>
      <c r="D10" s="174" t="s">
        <v>420</v>
      </c>
      <c r="E10" s="48"/>
      <c r="F10" s="48"/>
      <c r="G10" s="48"/>
      <c r="H10" s="48"/>
      <c r="I10" s="188"/>
      <c r="J10" s="332">
        <f>J11+J19</f>
        <v>4243</v>
      </c>
      <c r="K10" s="46">
        <f t="shared" ref="K10:AW10" si="1">K11+K19</f>
        <v>1505</v>
      </c>
      <c r="L10" s="46">
        <f t="shared" si="1"/>
        <v>2738</v>
      </c>
      <c r="M10" s="333">
        <f t="shared" si="1"/>
        <v>0</v>
      </c>
      <c r="N10" s="227"/>
      <c r="O10" s="332">
        <f t="shared" si="1"/>
        <v>283</v>
      </c>
      <c r="P10" s="46">
        <f t="shared" si="1"/>
        <v>232</v>
      </c>
      <c r="Q10" s="46">
        <f t="shared" si="1"/>
        <v>546</v>
      </c>
      <c r="R10" s="46">
        <f t="shared" si="1"/>
        <v>0</v>
      </c>
      <c r="S10" s="46">
        <f t="shared" si="1"/>
        <v>0</v>
      </c>
      <c r="T10" s="46">
        <f t="shared" si="1"/>
        <v>0</v>
      </c>
      <c r="U10" s="46">
        <f t="shared" si="1"/>
        <v>1061</v>
      </c>
      <c r="V10" s="46">
        <f t="shared" si="1"/>
        <v>283</v>
      </c>
      <c r="W10" s="46">
        <f t="shared" si="1"/>
        <v>0</v>
      </c>
      <c r="X10" s="46">
        <f t="shared" si="1"/>
        <v>778</v>
      </c>
      <c r="Y10" s="333">
        <f t="shared" si="1"/>
        <v>0</v>
      </c>
      <c r="Z10" s="273"/>
      <c r="AA10" s="332">
        <f t="shared" si="1"/>
        <v>611</v>
      </c>
      <c r="AB10" s="46">
        <f t="shared" si="1"/>
        <v>226</v>
      </c>
      <c r="AC10" s="46">
        <f t="shared" si="1"/>
        <v>754</v>
      </c>
      <c r="AD10" s="46">
        <f t="shared" si="1"/>
        <v>0</v>
      </c>
      <c r="AE10" s="46">
        <f t="shared" si="1"/>
        <v>0</v>
      </c>
      <c r="AF10" s="46">
        <f t="shared" si="1"/>
        <v>0</v>
      </c>
      <c r="AG10" s="46">
        <f t="shared" si="1"/>
        <v>1591</v>
      </c>
      <c r="AH10" s="46">
        <f t="shared" si="1"/>
        <v>611</v>
      </c>
      <c r="AI10" s="46">
        <f t="shared" si="1"/>
        <v>0</v>
      </c>
      <c r="AJ10" s="46">
        <f t="shared" si="1"/>
        <v>980</v>
      </c>
      <c r="AK10" s="333">
        <f t="shared" si="1"/>
        <v>0</v>
      </c>
      <c r="AL10" s="273"/>
      <c r="AM10" s="332">
        <f t="shared" si="1"/>
        <v>611</v>
      </c>
      <c r="AN10" s="46">
        <f t="shared" si="1"/>
        <v>226</v>
      </c>
      <c r="AO10" s="46">
        <f t="shared" si="1"/>
        <v>754</v>
      </c>
      <c r="AP10" s="46">
        <f t="shared" si="1"/>
        <v>0</v>
      </c>
      <c r="AQ10" s="46">
        <f t="shared" si="1"/>
        <v>0</v>
      </c>
      <c r="AR10" s="46">
        <f t="shared" si="1"/>
        <v>0</v>
      </c>
      <c r="AS10" s="46">
        <f t="shared" si="1"/>
        <v>1591</v>
      </c>
      <c r="AT10" s="46">
        <f t="shared" si="1"/>
        <v>611</v>
      </c>
      <c r="AU10" s="46">
        <f t="shared" si="1"/>
        <v>0</v>
      </c>
      <c r="AV10" s="46">
        <f t="shared" si="1"/>
        <v>980</v>
      </c>
      <c r="AW10" s="46">
        <f t="shared" si="1"/>
        <v>0</v>
      </c>
    </row>
    <row r="11" spans="1:50" s="92" customFormat="1" ht="45" customHeight="1" x14ac:dyDescent="0.15">
      <c r="A11" s="138"/>
      <c r="B11" s="159" t="s">
        <v>365</v>
      </c>
      <c r="C11" s="159"/>
      <c r="D11" s="157" t="s">
        <v>427</v>
      </c>
      <c r="E11" s="167"/>
      <c r="F11" s="138"/>
      <c r="G11" s="138"/>
      <c r="H11" s="138"/>
      <c r="I11" s="270"/>
      <c r="J11" s="279">
        <f>SUM(J12:J18)</f>
        <v>654</v>
      </c>
      <c r="K11" s="176">
        <f t="shared" ref="K11:AW11" si="2">SUM(K12:K18)</f>
        <v>0</v>
      </c>
      <c r="L11" s="176">
        <f t="shared" si="2"/>
        <v>654</v>
      </c>
      <c r="M11" s="280">
        <f t="shared" si="2"/>
        <v>0</v>
      </c>
      <c r="N11" s="227"/>
      <c r="O11" s="279">
        <f t="shared" si="2"/>
        <v>0</v>
      </c>
      <c r="P11" s="176">
        <f t="shared" si="2"/>
        <v>222</v>
      </c>
      <c r="Q11" s="176">
        <f t="shared" si="2"/>
        <v>0</v>
      </c>
      <c r="R11" s="176">
        <f t="shared" si="2"/>
        <v>0</v>
      </c>
      <c r="S11" s="176">
        <f t="shared" si="2"/>
        <v>0</v>
      </c>
      <c r="T11" s="176">
        <f t="shared" si="2"/>
        <v>0</v>
      </c>
      <c r="U11" s="176">
        <f t="shared" si="2"/>
        <v>222</v>
      </c>
      <c r="V11" s="176">
        <f t="shared" si="2"/>
        <v>0</v>
      </c>
      <c r="W11" s="351">
        <f t="shared" si="2"/>
        <v>0</v>
      </c>
      <c r="X11" s="176">
        <f t="shared" si="2"/>
        <v>222</v>
      </c>
      <c r="Y11" s="280">
        <f t="shared" si="2"/>
        <v>0</v>
      </c>
      <c r="Z11" s="273"/>
      <c r="AA11" s="279">
        <f t="shared" si="2"/>
        <v>0</v>
      </c>
      <c r="AB11" s="176">
        <f t="shared" si="2"/>
        <v>216</v>
      </c>
      <c r="AC11" s="176">
        <f t="shared" si="2"/>
        <v>0</v>
      </c>
      <c r="AD11" s="176">
        <f t="shared" si="2"/>
        <v>0</v>
      </c>
      <c r="AE11" s="176">
        <f t="shared" si="2"/>
        <v>0</v>
      </c>
      <c r="AF11" s="176">
        <f t="shared" si="2"/>
        <v>0</v>
      </c>
      <c r="AG11" s="176">
        <f t="shared" si="2"/>
        <v>216</v>
      </c>
      <c r="AH11" s="176">
        <f t="shared" si="2"/>
        <v>0</v>
      </c>
      <c r="AI11" s="176">
        <f t="shared" si="2"/>
        <v>0</v>
      </c>
      <c r="AJ11" s="176">
        <f t="shared" si="2"/>
        <v>216</v>
      </c>
      <c r="AK11" s="280">
        <f t="shared" si="2"/>
        <v>0</v>
      </c>
      <c r="AL11" s="273"/>
      <c r="AM11" s="279">
        <f t="shared" si="2"/>
        <v>0</v>
      </c>
      <c r="AN11" s="176">
        <f t="shared" si="2"/>
        <v>216</v>
      </c>
      <c r="AO11" s="176">
        <f t="shared" si="2"/>
        <v>0</v>
      </c>
      <c r="AP11" s="176">
        <f t="shared" si="2"/>
        <v>0</v>
      </c>
      <c r="AQ11" s="176">
        <f t="shared" si="2"/>
        <v>0</v>
      </c>
      <c r="AR11" s="176">
        <f t="shared" si="2"/>
        <v>0</v>
      </c>
      <c r="AS11" s="176">
        <f t="shared" si="2"/>
        <v>216</v>
      </c>
      <c r="AT11" s="176">
        <f t="shared" si="2"/>
        <v>0</v>
      </c>
      <c r="AU11" s="176">
        <f t="shared" si="2"/>
        <v>0</v>
      </c>
      <c r="AV11" s="176">
        <f t="shared" si="2"/>
        <v>216</v>
      </c>
      <c r="AW11" s="351">
        <f t="shared" si="2"/>
        <v>0</v>
      </c>
    </row>
    <row r="12" spans="1:50" s="94" customFormat="1" ht="37.5" customHeight="1" x14ac:dyDescent="0.15">
      <c r="A12" s="8"/>
      <c r="B12" s="41" t="s">
        <v>194</v>
      </c>
      <c r="C12" s="41"/>
      <c r="D12" s="1" t="s">
        <v>118</v>
      </c>
      <c r="E12" s="1" t="s">
        <v>246</v>
      </c>
      <c r="F12" s="29" t="s">
        <v>7</v>
      </c>
      <c r="G12" s="29" t="s">
        <v>367</v>
      </c>
      <c r="H12" s="29" t="s">
        <v>23</v>
      </c>
      <c r="I12" s="187" t="s">
        <v>23</v>
      </c>
      <c r="J12" s="298">
        <v>0</v>
      </c>
      <c r="K12" s="29"/>
      <c r="L12" s="29">
        <v>0</v>
      </c>
      <c r="M12" s="295"/>
      <c r="N12" s="227">
        <f t="shared" ref="N12:N18" si="3">U12+AG12+AS12</f>
        <v>0</v>
      </c>
      <c r="O12" s="238"/>
      <c r="P12" s="78">
        <v>0</v>
      </c>
      <c r="Q12" s="78"/>
      <c r="R12" s="78"/>
      <c r="S12" s="78"/>
      <c r="T12" s="78"/>
      <c r="U12" s="78">
        <f>SUM(O12:T12)</f>
        <v>0</v>
      </c>
      <c r="V12" s="78"/>
      <c r="W12" s="78"/>
      <c r="X12" s="78">
        <v>0</v>
      </c>
      <c r="Y12" s="240"/>
      <c r="Z12" s="80"/>
      <c r="AA12" s="238"/>
      <c r="AB12" s="78"/>
      <c r="AC12" s="78"/>
      <c r="AD12" s="78"/>
      <c r="AE12" s="78"/>
      <c r="AF12" s="78"/>
      <c r="AG12" s="78">
        <f t="shared" ref="AG12:AG18" si="4">SUM(AA12:AF12)</f>
        <v>0</v>
      </c>
      <c r="AH12" s="78"/>
      <c r="AI12" s="78"/>
      <c r="AJ12" s="78"/>
      <c r="AK12" s="240"/>
      <c r="AL12" s="80"/>
      <c r="AM12" s="238"/>
      <c r="AN12" s="78"/>
      <c r="AO12" s="78"/>
      <c r="AP12" s="78"/>
      <c r="AQ12" s="78"/>
      <c r="AR12" s="78"/>
      <c r="AS12" s="78">
        <f t="shared" ref="AS12:AS18" si="5">SUM(AM12:AR12)</f>
        <v>0</v>
      </c>
      <c r="AT12" s="78"/>
      <c r="AU12" s="78"/>
      <c r="AV12" s="78"/>
      <c r="AW12" s="240"/>
    </row>
    <row r="13" spans="1:50" s="94" customFormat="1" ht="27.75" customHeight="1" x14ac:dyDescent="0.15">
      <c r="A13" s="8"/>
      <c r="B13" s="41" t="s">
        <v>247</v>
      </c>
      <c r="C13" s="41"/>
      <c r="D13" s="1" t="s">
        <v>252</v>
      </c>
      <c r="E13" s="1" t="s">
        <v>248</v>
      </c>
      <c r="F13" s="29" t="s">
        <v>74</v>
      </c>
      <c r="G13" s="29" t="s">
        <v>195</v>
      </c>
      <c r="H13" s="29" t="s">
        <v>23</v>
      </c>
      <c r="I13" s="187" t="s">
        <v>23</v>
      </c>
      <c r="J13" s="298">
        <f>6*10</f>
        <v>60</v>
      </c>
      <c r="K13" s="29"/>
      <c r="L13" s="29">
        <v>60</v>
      </c>
      <c r="M13" s="295"/>
      <c r="N13" s="227"/>
      <c r="O13" s="238"/>
      <c r="P13" s="78">
        <v>60</v>
      </c>
      <c r="Q13" s="78"/>
      <c r="R13" s="78"/>
      <c r="S13" s="78"/>
      <c r="T13" s="78"/>
      <c r="U13" s="78">
        <f t="shared" ref="U13:U18" si="6">SUM(O13:T13)</f>
        <v>60</v>
      </c>
      <c r="V13" s="78"/>
      <c r="W13" s="78"/>
      <c r="X13" s="78">
        <v>60</v>
      </c>
      <c r="Y13" s="240"/>
      <c r="Z13" s="80"/>
      <c r="AA13" s="238"/>
      <c r="AB13" s="78"/>
      <c r="AC13" s="78"/>
      <c r="AD13" s="78"/>
      <c r="AE13" s="78"/>
      <c r="AF13" s="78"/>
      <c r="AG13" s="78">
        <f t="shared" si="4"/>
        <v>0</v>
      </c>
      <c r="AH13" s="78"/>
      <c r="AI13" s="78"/>
      <c r="AJ13" s="78"/>
      <c r="AK13" s="240"/>
      <c r="AL13" s="80"/>
      <c r="AM13" s="238"/>
      <c r="AN13" s="78"/>
      <c r="AO13" s="78"/>
      <c r="AP13" s="78"/>
      <c r="AQ13" s="78"/>
      <c r="AR13" s="78"/>
      <c r="AS13" s="78">
        <f t="shared" si="5"/>
        <v>0</v>
      </c>
      <c r="AT13" s="78"/>
      <c r="AU13" s="78"/>
      <c r="AV13" s="78"/>
      <c r="AW13" s="240"/>
    </row>
    <row r="14" spans="1:50" s="94" customFormat="1" ht="27.75" customHeight="1" x14ac:dyDescent="0.15">
      <c r="A14" s="8"/>
      <c r="B14" s="41" t="s">
        <v>253</v>
      </c>
      <c r="C14" s="41"/>
      <c r="D14" s="1" t="s">
        <v>119</v>
      </c>
      <c r="E14" s="1" t="s">
        <v>403</v>
      </c>
      <c r="F14" s="29" t="s">
        <v>7</v>
      </c>
      <c r="G14" s="29" t="s">
        <v>367</v>
      </c>
      <c r="H14" s="29" t="s">
        <v>23</v>
      </c>
      <c r="I14" s="187" t="s">
        <v>12</v>
      </c>
      <c r="J14" s="298">
        <v>0</v>
      </c>
      <c r="K14" s="29"/>
      <c r="L14" s="29">
        <f>J14</f>
        <v>0</v>
      </c>
      <c r="M14" s="295"/>
      <c r="N14" s="227">
        <f t="shared" si="3"/>
        <v>0</v>
      </c>
      <c r="O14" s="238"/>
      <c r="P14" s="78">
        <v>0</v>
      </c>
      <c r="Q14" s="78"/>
      <c r="R14" s="78"/>
      <c r="S14" s="78"/>
      <c r="T14" s="78"/>
      <c r="U14" s="78">
        <f t="shared" si="6"/>
        <v>0</v>
      </c>
      <c r="V14" s="78"/>
      <c r="W14" s="78"/>
      <c r="X14" s="78">
        <v>0</v>
      </c>
      <c r="Y14" s="240"/>
      <c r="Z14" s="80"/>
      <c r="AA14" s="238"/>
      <c r="AB14" s="78">
        <v>0</v>
      </c>
      <c r="AC14" s="78"/>
      <c r="AD14" s="78"/>
      <c r="AE14" s="78"/>
      <c r="AF14" s="78"/>
      <c r="AG14" s="78">
        <f t="shared" si="4"/>
        <v>0</v>
      </c>
      <c r="AH14" s="78"/>
      <c r="AI14" s="78"/>
      <c r="AJ14" s="78">
        <v>0</v>
      </c>
      <c r="AK14" s="240"/>
      <c r="AL14" s="80"/>
      <c r="AM14" s="238"/>
      <c r="AN14" s="78">
        <v>0</v>
      </c>
      <c r="AO14" s="93"/>
      <c r="AP14" s="78"/>
      <c r="AQ14" s="78"/>
      <c r="AR14" s="78"/>
      <c r="AS14" s="78">
        <f t="shared" si="5"/>
        <v>0</v>
      </c>
      <c r="AT14" s="78"/>
      <c r="AU14" s="78"/>
      <c r="AV14" s="78">
        <v>0</v>
      </c>
      <c r="AW14" s="240"/>
    </row>
    <row r="15" spans="1:50" s="94" customFormat="1" ht="34.5" customHeight="1" x14ac:dyDescent="0.15">
      <c r="A15" s="29"/>
      <c r="B15" s="41" t="s">
        <v>310</v>
      </c>
      <c r="C15" s="41"/>
      <c r="D15" s="1" t="s">
        <v>119</v>
      </c>
      <c r="E15" s="1" t="s">
        <v>316</v>
      </c>
      <c r="F15" s="29" t="s">
        <v>74</v>
      </c>
      <c r="G15" s="29" t="s">
        <v>195</v>
      </c>
      <c r="H15" s="29" t="s">
        <v>23</v>
      </c>
      <c r="I15" s="187" t="s">
        <v>12</v>
      </c>
      <c r="J15" s="298">
        <f>3*6*33</f>
        <v>594</v>
      </c>
      <c r="K15" s="29"/>
      <c r="L15" s="29">
        <f>J15</f>
        <v>594</v>
      </c>
      <c r="M15" s="295"/>
      <c r="N15" s="227"/>
      <c r="O15" s="286"/>
      <c r="P15" s="55">
        <f>6*9*3</f>
        <v>162</v>
      </c>
      <c r="Q15" s="55"/>
      <c r="R15" s="55"/>
      <c r="S15" s="55"/>
      <c r="T15" s="55"/>
      <c r="U15" s="78">
        <f t="shared" si="6"/>
        <v>162</v>
      </c>
      <c r="V15" s="55"/>
      <c r="W15" s="55"/>
      <c r="X15" s="55">
        <v>162</v>
      </c>
      <c r="Y15" s="287">
        <v>0</v>
      </c>
      <c r="Z15" s="74"/>
      <c r="AA15" s="282"/>
      <c r="AB15" s="38">
        <f>6*12*3</f>
        <v>216</v>
      </c>
      <c r="AC15" s="38"/>
      <c r="AD15" s="38"/>
      <c r="AE15" s="38"/>
      <c r="AF15" s="38"/>
      <c r="AG15" s="78">
        <f t="shared" si="4"/>
        <v>216</v>
      </c>
      <c r="AH15" s="38"/>
      <c r="AI15" s="38"/>
      <c r="AJ15" s="38">
        <f>AG15</f>
        <v>216</v>
      </c>
      <c r="AK15" s="283"/>
      <c r="AL15" s="74"/>
      <c r="AM15" s="282"/>
      <c r="AN15" s="38">
        <f>6*12*3</f>
        <v>216</v>
      </c>
      <c r="AO15" s="38"/>
      <c r="AP15" s="38"/>
      <c r="AQ15" s="38"/>
      <c r="AR15" s="38"/>
      <c r="AS15" s="78">
        <f t="shared" si="5"/>
        <v>216</v>
      </c>
      <c r="AT15" s="38"/>
      <c r="AU15" s="38"/>
      <c r="AV15" s="38">
        <f>AS15</f>
        <v>216</v>
      </c>
      <c r="AW15" s="283"/>
    </row>
    <row r="16" spans="1:50" s="94" customFormat="1" ht="32.25" customHeight="1" x14ac:dyDescent="0.15">
      <c r="A16" s="8"/>
      <c r="B16" s="12" t="s">
        <v>199</v>
      </c>
      <c r="C16" s="12"/>
      <c r="D16" s="33" t="s">
        <v>249</v>
      </c>
      <c r="E16" s="1" t="s">
        <v>403</v>
      </c>
      <c r="F16" s="29" t="s">
        <v>344</v>
      </c>
      <c r="G16" s="29" t="s">
        <v>153</v>
      </c>
      <c r="H16" s="29" t="s">
        <v>23</v>
      </c>
      <c r="I16" s="187" t="s">
        <v>12</v>
      </c>
      <c r="J16" s="298">
        <v>0</v>
      </c>
      <c r="K16" s="29"/>
      <c r="L16" s="29">
        <f>J16</f>
        <v>0</v>
      </c>
      <c r="M16" s="295"/>
      <c r="N16" s="227">
        <f t="shared" si="3"/>
        <v>0</v>
      </c>
      <c r="O16" s="238"/>
      <c r="P16" s="78">
        <v>0</v>
      </c>
      <c r="Q16" s="78"/>
      <c r="R16" s="78"/>
      <c r="S16" s="78"/>
      <c r="T16" s="78"/>
      <c r="U16" s="78">
        <f t="shared" si="6"/>
        <v>0</v>
      </c>
      <c r="V16" s="78"/>
      <c r="W16" s="78"/>
      <c r="X16" s="78">
        <v>0</v>
      </c>
      <c r="Y16" s="240"/>
      <c r="Z16" s="74"/>
      <c r="AA16" s="238"/>
      <c r="AB16" s="78">
        <v>0</v>
      </c>
      <c r="AC16" s="78"/>
      <c r="AD16" s="78"/>
      <c r="AE16" s="78"/>
      <c r="AF16" s="78"/>
      <c r="AG16" s="78">
        <f>SUM(AA16:AF16)</f>
        <v>0</v>
      </c>
      <c r="AH16" s="78"/>
      <c r="AI16" s="78"/>
      <c r="AJ16" s="78">
        <v>0</v>
      </c>
      <c r="AK16" s="240"/>
      <c r="AL16" s="74"/>
      <c r="AM16" s="245"/>
      <c r="AN16" s="78">
        <v>0</v>
      </c>
      <c r="AO16" s="78"/>
      <c r="AP16" s="78"/>
      <c r="AQ16" s="78"/>
      <c r="AR16" s="78"/>
      <c r="AS16" s="78">
        <f>SUM(AM16:AR16)</f>
        <v>0</v>
      </c>
      <c r="AT16" s="78"/>
      <c r="AU16" s="78"/>
      <c r="AV16" s="78">
        <v>0</v>
      </c>
      <c r="AW16" s="240"/>
    </row>
    <row r="17" spans="1:49" s="94" customFormat="1" ht="53.25" customHeight="1" x14ac:dyDescent="0.15">
      <c r="A17" s="8"/>
      <c r="B17" s="41" t="s">
        <v>198</v>
      </c>
      <c r="C17" s="41"/>
      <c r="D17" s="1" t="s">
        <v>121</v>
      </c>
      <c r="E17" s="1" t="s">
        <v>403</v>
      </c>
      <c r="F17" s="29" t="s">
        <v>7</v>
      </c>
      <c r="G17" s="29" t="s">
        <v>196</v>
      </c>
      <c r="H17" s="29" t="s">
        <v>23</v>
      </c>
      <c r="I17" s="187" t="s">
        <v>12</v>
      </c>
      <c r="J17" s="298">
        <v>0</v>
      </c>
      <c r="K17" s="29"/>
      <c r="L17" s="29">
        <v>0</v>
      </c>
      <c r="M17" s="295"/>
      <c r="N17" s="227">
        <f t="shared" si="3"/>
        <v>0</v>
      </c>
      <c r="O17" s="306"/>
      <c r="P17" s="35"/>
      <c r="Q17" s="35"/>
      <c r="R17" s="35"/>
      <c r="S17" s="35"/>
      <c r="T17" s="35"/>
      <c r="U17" s="78">
        <f t="shared" si="6"/>
        <v>0</v>
      </c>
      <c r="V17" s="35"/>
      <c r="W17" s="35"/>
      <c r="X17" s="35"/>
      <c r="Y17" s="307"/>
      <c r="Z17" s="74"/>
      <c r="AA17" s="306"/>
      <c r="AB17" s="35"/>
      <c r="AC17" s="35"/>
      <c r="AD17" s="35"/>
      <c r="AE17" s="35"/>
      <c r="AF17" s="35"/>
      <c r="AG17" s="78">
        <f t="shared" si="4"/>
        <v>0</v>
      </c>
      <c r="AH17" s="35"/>
      <c r="AI17" s="35"/>
      <c r="AJ17" s="35"/>
      <c r="AK17" s="307"/>
      <c r="AL17" s="74"/>
      <c r="AM17" s="306"/>
      <c r="AN17" s="35"/>
      <c r="AO17" s="35"/>
      <c r="AP17" s="35"/>
      <c r="AQ17" s="35"/>
      <c r="AR17" s="35"/>
      <c r="AS17" s="78">
        <f t="shared" si="5"/>
        <v>0</v>
      </c>
      <c r="AT17" s="35"/>
      <c r="AU17" s="35"/>
      <c r="AV17" s="35"/>
      <c r="AW17" s="307"/>
    </row>
    <row r="18" spans="1:49" s="94" customFormat="1" ht="63" customHeight="1" x14ac:dyDescent="0.15">
      <c r="A18" s="8"/>
      <c r="B18" s="12" t="s">
        <v>243</v>
      </c>
      <c r="C18" s="12"/>
      <c r="D18" s="12" t="s">
        <v>255</v>
      </c>
      <c r="E18" s="1" t="s">
        <v>403</v>
      </c>
      <c r="F18" s="29" t="s">
        <v>7</v>
      </c>
      <c r="G18" s="29" t="s">
        <v>197</v>
      </c>
      <c r="H18" s="29" t="s">
        <v>23</v>
      </c>
      <c r="I18" s="187" t="s">
        <v>12</v>
      </c>
      <c r="J18" s="298">
        <v>0</v>
      </c>
      <c r="K18" s="29"/>
      <c r="L18" s="29">
        <v>0</v>
      </c>
      <c r="M18" s="295"/>
      <c r="N18" s="227">
        <f t="shared" si="3"/>
        <v>0</v>
      </c>
      <c r="O18" s="238"/>
      <c r="P18" s="78"/>
      <c r="Q18" s="78"/>
      <c r="R18" s="78"/>
      <c r="S18" s="78"/>
      <c r="T18" s="78"/>
      <c r="U18" s="78">
        <f t="shared" si="6"/>
        <v>0</v>
      </c>
      <c r="V18" s="78"/>
      <c r="W18" s="78"/>
      <c r="X18" s="78"/>
      <c r="Y18" s="240"/>
      <c r="Z18" s="80"/>
      <c r="AA18" s="238"/>
      <c r="AB18" s="78"/>
      <c r="AC18" s="78"/>
      <c r="AD18" s="78"/>
      <c r="AE18" s="78"/>
      <c r="AF18" s="78"/>
      <c r="AG18" s="78">
        <f t="shared" si="4"/>
        <v>0</v>
      </c>
      <c r="AH18" s="78"/>
      <c r="AI18" s="78"/>
      <c r="AJ18" s="78"/>
      <c r="AK18" s="240"/>
      <c r="AL18" s="80"/>
      <c r="AM18" s="238"/>
      <c r="AN18" s="78"/>
      <c r="AO18" s="78"/>
      <c r="AP18" s="78"/>
      <c r="AQ18" s="78"/>
      <c r="AR18" s="78"/>
      <c r="AS18" s="78">
        <f t="shared" si="5"/>
        <v>0</v>
      </c>
      <c r="AT18" s="78"/>
      <c r="AU18" s="78"/>
      <c r="AV18" s="78"/>
      <c r="AW18" s="240"/>
    </row>
    <row r="19" spans="1:49" s="92" customFormat="1" ht="25.5" customHeight="1" x14ac:dyDescent="0.15">
      <c r="A19" s="138"/>
      <c r="B19" s="162" t="s">
        <v>366</v>
      </c>
      <c r="C19" s="162"/>
      <c r="D19" s="160" t="s">
        <v>426</v>
      </c>
      <c r="E19" s="167"/>
      <c r="F19" s="138"/>
      <c r="G19" s="138"/>
      <c r="H19" s="138"/>
      <c r="I19" s="270"/>
      <c r="J19" s="279">
        <f>SUM(J20:J26)</f>
        <v>3589</v>
      </c>
      <c r="K19" s="176">
        <f>SUM(K20:K26)</f>
        <v>1505</v>
      </c>
      <c r="L19" s="176">
        <f>SUM(L20:L26)</f>
        <v>2084</v>
      </c>
      <c r="M19" s="280">
        <f>SUM(M20:M26)</f>
        <v>0</v>
      </c>
      <c r="N19" s="227"/>
      <c r="O19" s="279">
        <f t="shared" ref="O19:Y19" si="7">SUM(O20:O26)</f>
        <v>283</v>
      </c>
      <c r="P19" s="176">
        <f t="shared" si="7"/>
        <v>10</v>
      </c>
      <c r="Q19" s="176">
        <f t="shared" si="7"/>
        <v>546</v>
      </c>
      <c r="R19" s="176">
        <f t="shared" si="7"/>
        <v>0</v>
      </c>
      <c r="S19" s="176">
        <f t="shared" si="7"/>
        <v>0</v>
      </c>
      <c r="T19" s="176">
        <f t="shared" si="7"/>
        <v>0</v>
      </c>
      <c r="U19" s="176">
        <f t="shared" si="7"/>
        <v>839</v>
      </c>
      <c r="V19" s="176">
        <f t="shared" si="7"/>
        <v>283</v>
      </c>
      <c r="W19" s="351">
        <f t="shared" si="7"/>
        <v>0</v>
      </c>
      <c r="X19" s="176">
        <f t="shared" si="7"/>
        <v>556</v>
      </c>
      <c r="Y19" s="280">
        <f t="shared" si="7"/>
        <v>0</v>
      </c>
      <c r="Z19" s="273"/>
      <c r="AA19" s="279">
        <f t="shared" ref="AA19:AK19" si="8">SUM(AA20:AA26)</f>
        <v>611</v>
      </c>
      <c r="AB19" s="176">
        <f t="shared" si="8"/>
        <v>10</v>
      </c>
      <c r="AC19" s="176">
        <f t="shared" si="8"/>
        <v>754</v>
      </c>
      <c r="AD19" s="176">
        <f t="shared" si="8"/>
        <v>0</v>
      </c>
      <c r="AE19" s="176">
        <f t="shared" si="8"/>
        <v>0</v>
      </c>
      <c r="AF19" s="176">
        <f t="shared" si="8"/>
        <v>0</v>
      </c>
      <c r="AG19" s="176">
        <f t="shared" si="8"/>
        <v>1375</v>
      </c>
      <c r="AH19" s="176">
        <f t="shared" si="8"/>
        <v>611</v>
      </c>
      <c r="AI19" s="176">
        <f t="shared" si="8"/>
        <v>0</v>
      </c>
      <c r="AJ19" s="176">
        <f t="shared" si="8"/>
        <v>764</v>
      </c>
      <c r="AK19" s="280">
        <f t="shared" si="8"/>
        <v>0</v>
      </c>
      <c r="AL19" s="273"/>
      <c r="AM19" s="279">
        <f t="shared" ref="AM19:AW19" si="9">SUM(AM20:AM26)</f>
        <v>611</v>
      </c>
      <c r="AN19" s="176">
        <f t="shared" si="9"/>
        <v>10</v>
      </c>
      <c r="AO19" s="176">
        <f t="shared" si="9"/>
        <v>754</v>
      </c>
      <c r="AP19" s="176">
        <f t="shared" si="9"/>
        <v>0</v>
      </c>
      <c r="AQ19" s="176">
        <f t="shared" si="9"/>
        <v>0</v>
      </c>
      <c r="AR19" s="176">
        <f t="shared" si="9"/>
        <v>0</v>
      </c>
      <c r="AS19" s="176">
        <f t="shared" si="9"/>
        <v>1375</v>
      </c>
      <c r="AT19" s="176">
        <f t="shared" si="9"/>
        <v>611</v>
      </c>
      <c r="AU19" s="176">
        <f t="shared" si="9"/>
        <v>0</v>
      </c>
      <c r="AV19" s="176">
        <f t="shared" si="9"/>
        <v>764</v>
      </c>
      <c r="AW19" s="351">
        <f t="shared" si="9"/>
        <v>0</v>
      </c>
    </row>
    <row r="20" spans="1:49" s="94" customFormat="1" ht="53.25" customHeight="1" x14ac:dyDescent="0.15">
      <c r="A20" s="8"/>
      <c r="B20" s="41" t="s">
        <v>332</v>
      </c>
      <c r="C20" s="41"/>
      <c r="D20" s="1" t="s">
        <v>336</v>
      </c>
      <c r="E20" s="1" t="s">
        <v>311</v>
      </c>
      <c r="F20" s="29" t="s">
        <v>120</v>
      </c>
      <c r="G20" s="29" t="s">
        <v>250</v>
      </c>
      <c r="H20" s="29" t="s">
        <v>23</v>
      </c>
      <c r="I20" s="187" t="s">
        <v>12</v>
      </c>
      <c r="J20" s="298">
        <f>33*2*13</f>
        <v>858</v>
      </c>
      <c r="K20" s="29"/>
      <c r="L20" s="29">
        <f>J20</f>
        <v>858</v>
      </c>
      <c r="M20" s="295"/>
      <c r="N20" s="227"/>
      <c r="O20" s="245"/>
      <c r="P20" s="81"/>
      <c r="Q20" s="81">
        <f>9*13*2</f>
        <v>234</v>
      </c>
      <c r="R20" s="81"/>
      <c r="S20" s="81"/>
      <c r="T20" s="81"/>
      <c r="U20" s="78">
        <f>SUM(O20:T20)</f>
        <v>234</v>
      </c>
      <c r="V20" s="81"/>
      <c r="W20" s="81"/>
      <c r="X20" s="82">
        <f>U20</f>
        <v>234</v>
      </c>
      <c r="Y20" s="257"/>
      <c r="Z20" s="74"/>
      <c r="AA20" s="243"/>
      <c r="AB20" s="82"/>
      <c r="AC20" s="82">
        <f>13*12*2</f>
        <v>312</v>
      </c>
      <c r="AD20" s="82"/>
      <c r="AE20" s="82"/>
      <c r="AF20" s="82"/>
      <c r="AG20" s="78">
        <f>SUM(AA20:AF20)</f>
        <v>312</v>
      </c>
      <c r="AH20" s="81"/>
      <c r="AI20" s="81"/>
      <c r="AJ20" s="82">
        <f>AG20</f>
        <v>312</v>
      </c>
      <c r="AK20" s="244"/>
      <c r="AL20" s="74"/>
      <c r="AM20" s="243"/>
      <c r="AN20" s="82"/>
      <c r="AO20" s="82">
        <f>12*13*2</f>
        <v>312</v>
      </c>
      <c r="AP20" s="82"/>
      <c r="AQ20" s="82"/>
      <c r="AR20" s="82"/>
      <c r="AS20" s="78">
        <f>SUM(AM20:AR20)</f>
        <v>312</v>
      </c>
      <c r="AT20" s="82"/>
      <c r="AU20" s="81"/>
      <c r="AV20" s="82">
        <f>AS20</f>
        <v>312</v>
      </c>
      <c r="AW20" s="244"/>
    </row>
    <row r="21" spans="1:49" s="94" customFormat="1" ht="48.75" customHeight="1" x14ac:dyDescent="0.15">
      <c r="A21" s="8"/>
      <c r="B21" s="41" t="s">
        <v>335</v>
      </c>
      <c r="C21" s="41"/>
      <c r="D21" s="1" t="s">
        <v>336</v>
      </c>
      <c r="E21" s="1" t="s">
        <v>312</v>
      </c>
      <c r="F21" s="29" t="s">
        <v>7</v>
      </c>
      <c r="G21" s="29" t="s">
        <v>196</v>
      </c>
      <c r="H21" s="29" t="s">
        <v>23</v>
      </c>
      <c r="I21" s="187" t="s">
        <v>12</v>
      </c>
      <c r="J21" s="298">
        <f>2*13*6</f>
        <v>156</v>
      </c>
      <c r="K21" s="29"/>
      <c r="L21" s="29">
        <f>J21</f>
        <v>156</v>
      </c>
      <c r="M21" s="295"/>
      <c r="N21" s="227"/>
      <c r="O21" s="238"/>
      <c r="P21" s="78"/>
      <c r="Q21" s="81">
        <f>2*2*13</f>
        <v>52</v>
      </c>
      <c r="R21" s="81"/>
      <c r="S21" s="81"/>
      <c r="T21" s="81"/>
      <c r="U21" s="78">
        <f t="shared" ref="U21:U26" si="10">SUM(O21:T21)</f>
        <v>52</v>
      </c>
      <c r="V21" s="82"/>
      <c r="W21" s="81"/>
      <c r="X21" s="81">
        <v>52</v>
      </c>
      <c r="Y21" s="244"/>
      <c r="Z21" s="74"/>
      <c r="AA21" s="245"/>
      <c r="AB21" s="78"/>
      <c r="AC21" s="81">
        <f>2*2*13</f>
        <v>52</v>
      </c>
      <c r="AD21" s="81"/>
      <c r="AE21" s="81"/>
      <c r="AF21" s="81"/>
      <c r="AG21" s="78">
        <f t="shared" ref="AG21:AG26" si="11">SUM(AA21:AF21)</f>
        <v>52</v>
      </c>
      <c r="AH21" s="82"/>
      <c r="AI21" s="81"/>
      <c r="AJ21" s="81">
        <v>52</v>
      </c>
      <c r="AK21" s="244"/>
      <c r="AL21" s="74"/>
      <c r="AM21" s="245"/>
      <c r="AN21" s="78"/>
      <c r="AO21" s="81">
        <f>2*13*2</f>
        <v>52</v>
      </c>
      <c r="AP21" s="81"/>
      <c r="AQ21" s="81"/>
      <c r="AR21" s="81"/>
      <c r="AS21" s="78">
        <f t="shared" ref="AS21:AS26" si="12">SUM(AM21:AR21)</f>
        <v>52</v>
      </c>
      <c r="AT21" s="82"/>
      <c r="AU21" s="81"/>
      <c r="AV21" s="81">
        <v>52</v>
      </c>
      <c r="AW21" s="244"/>
    </row>
    <row r="22" spans="1:49" ht="63" customHeight="1" x14ac:dyDescent="0.15">
      <c r="A22" s="8"/>
      <c r="B22" s="7" t="s">
        <v>421</v>
      </c>
      <c r="C22" s="95"/>
      <c r="D22" s="12" t="s">
        <v>422</v>
      </c>
      <c r="E22" s="1" t="s">
        <v>313</v>
      </c>
      <c r="F22" s="29" t="s">
        <v>7</v>
      </c>
      <c r="G22" s="18" t="s">
        <v>314</v>
      </c>
      <c r="H22" s="29" t="s">
        <v>14</v>
      </c>
      <c r="I22" s="187" t="s">
        <v>12</v>
      </c>
      <c r="J22" s="298">
        <f>2*5*13*3</f>
        <v>390</v>
      </c>
      <c r="K22" s="29"/>
      <c r="L22" s="29">
        <f>J22</f>
        <v>390</v>
      </c>
      <c r="M22" s="295"/>
      <c r="N22" s="227"/>
      <c r="O22" s="238"/>
      <c r="P22" s="78">
        <v>0</v>
      </c>
      <c r="Q22" s="78">
        <f>2*5*13</f>
        <v>130</v>
      </c>
      <c r="R22" s="78"/>
      <c r="S22" s="78"/>
      <c r="T22" s="81"/>
      <c r="U22" s="78">
        <f t="shared" si="10"/>
        <v>130</v>
      </c>
      <c r="V22" s="82">
        <v>0</v>
      </c>
      <c r="W22" s="81"/>
      <c r="X22" s="81">
        <v>130</v>
      </c>
      <c r="Y22" s="244">
        <v>0</v>
      </c>
      <c r="AA22" s="245"/>
      <c r="AB22" s="82"/>
      <c r="AC22" s="81">
        <f>2*5*13</f>
        <v>130</v>
      </c>
      <c r="AD22" s="81"/>
      <c r="AE22" s="81"/>
      <c r="AF22" s="81"/>
      <c r="AG22" s="78">
        <f t="shared" si="11"/>
        <v>130</v>
      </c>
      <c r="AH22" s="82"/>
      <c r="AI22" s="81"/>
      <c r="AJ22" s="81">
        <v>130</v>
      </c>
      <c r="AK22" s="244"/>
      <c r="AM22" s="245"/>
      <c r="AN22" s="82">
        <v>0</v>
      </c>
      <c r="AO22" s="81">
        <f>2*5*13</f>
        <v>130</v>
      </c>
      <c r="AP22" s="81"/>
      <c r="AQ22" s="81"/>
      <c r="AR22" s="81"/>
      <c r="AS22" s="78">
        <f t="shared" si="12"/>
        <v>130</v>
      </c>
      <c r="AT22" s="82">
        <v>0</v>
      </c>
      <c r="AU22" s="81"/>
      <c r="AV22" s="82">
        <f>AS22</f>
        <v>130</v>
      </c>
      <c r="AW22" s="244"/>
    </row>
    <row r="23" spans="1:49" ht="90.75" customHeight="1" x14ac:dyDescent="0.15">
      <c r="A23" s="8"/>
      <c r="B23" s="7" t="s">
        <v>244</v>
      </c>
      <c r="C23" s="95"/>
      <c r="D23" s="7" t="s">
        <v>423</v>
      </c>
      <c r="E23" s="32" t="s">
        <v>257</v>
      </c>
      <c r="F23" s="29" t="s">
        <v>35</v>
      </c>
      <c r="G23" s="29" t="s">
        <v>208</v>
      </c>
      <c r="H23" s="29" t="s">
        <v>23</v>
      </c>
      <c r="I23" s="187" t="s">
        <v>12</v>
      </c>
      <c r="J23" s="298">
        <f>3*2*82</f>
        <v>492</v>
      </c>
      <c r="K23" s="29">
        <f>J23</f>
        <v>492</v>
      </c>
      <c r="L23" s="29"/>
      <c r="M23" s="295"/>
      <c r="N23" s="227"/>
      <c r="O23" s="334">
        <f>K23/3</f>
        <v>164</v>
      </c>
      <c r="P23" s="81"/>
      <c r="Q23" s="81"/>
      <c r="R23" s="81"/>
      <c r="S23" s="81"/>
      <c r="T23" s="82"/>
      <c r="U23" s="78">
        <f t="shared" si="10"/>
        <v>164</v>
      </c>
      <c r="V23" s="81">
        <v>164</v>
      </c>
      <c r="W23" s="81"/>
      <c r="X23" s="81"/>
      <c r="Y23" s="257"/>
      <c r="AA23" s="334">
        <f>O23</f>
        <v>164</v>
      </c>
      <c r="AB23" s="81"/>
      <c r="AC23" s="81"/>
      <c r="AD23" s="81"/>
      <c r="AE23" s="81"/>
      <c r="AF23" s="81"/>
      <c r="AG23" s="78">
        <f t="shared" si="11"/>
        <v>164</v>
      </c>
      <c r="AH23" s="82">
        <f>AG23</f>
        <v>164</v>
      </c>
      <c r="AI23" s="81"/>
      <c r="AJ23" s="81"/>
      <c r="AK23" s="257"/>
      <c r="AM23" s="334">
        <f>AA23</f>
        <v>164</v>
      </c>
      <c r="AN23" s="81"/>
      <c r="AO23" s="81"/>
      <c r="AP23" s="81"/>
      <c r="AQ23" s="81"/>
      <c r="AR23" s="81"/>
      <c r="AS23" s="78">
        <f t="shared" si="12"/>
        <v>164</v>
      </c>
      <c r="AT23" s="82">
        <f>AS23</f>
        <v>164</v>
      </c>
      <c r="AU23" s="81"/>
      <c r="AV23" s="81"/>
      <c r="AW23" s="257"/>
    </row>
    <row r="24" spans="1:49" ht="39" customHeight="1" x14ac:dyDescent="0.15">
      <c r="A24" s="28"/>
      <c r="B24" s="12" t="s">
        <v>333</v>
      </c>
      <c r="C24" s="95"/>
      <c r="D24" s="12" t="s">
        <v>63</v>
      </c>
      <c r="E24" s="12" t="s">
        <v>403</v>
      </c>
      <c r="F24" s="21" t="s">
        <v>74</v>
      </c>
      <c r="G24" s="29" t="s">
        <v>88</v>
      </c>
      <c r="H24" s="21" t="s">
        <v>23</v>
      </c>
      <c r="I24" s="192" t="s">
        <v>12</v>
      </c>
      <c r="J24" s="336"/>
      <c r="K24" s="98"/>
      <c r="L24" s="98"/>
      <c r="M24" s="337"/>
      <c r="N24" s="227"/>
      <c r="O24" s="245"/>
      <c r="P24" s="81"/>
      <c r="Q24" s="81"/>
      <c r="R24" s="81"/>
      <c r="S24" s="81"/>
      <c r="T24" s="81"/>
      <c r="U24" s="78">
        <f t="shared" si="10"/>
        <v>0</v>
      </c>
      <c r="V24" s="81"/>
      <c r="W24" s="81"/>
      <c r="X24" s="81"/>
      <c r="Y24" s="257"/>
      <c r="AA24" s="245"/>
      <c r="AB24" s="81"/>
      <c r="AC24" s="81"/>
      <c r="AD24" s="81"/>
      <c r="AE24" s="81"/>
      <c r="AF24" s="81"/>
      <c r="AG24" s="78">
        <f t="shared" si="11"/>
        <v>0</v>
      </c>
      <c r="AH24" s="81"/>
      <c r="AI24" s="81"/>
      <c r="AJ24" s="82"/>
      <c r="AK24" s="257"/>
      <c r="AM24" s="245"/>
      <c r="AN24" s="81"/>
      <c r="AO24" s="81"/>
      <c r="AP24" s="81"/>
      <c r="AQ24" s="81"/>
      <c r="AR24" s="81"/>
      <c r="AS24" s="78">
        <f t="shared" si="12"/>
        <v>0</v>
      </c>
      <c r="AT24" s="81"/>
      <c r="AU24" s="81"/>
      <c r="AV24" s="81"/>
      <c r="AW24" s="257"/>
    </row>
    <row r="25" spans="1:49" ht="115.5" customHeight="1" x14ac:dyDescent="0.15">
      <c r="A25" s="44"/>
      <c r="B25" s="7" t="s">
        <v>245</v>
      </c>
      <c r="C25" s="95"/>
      <c r="D25" s="7" t="s">
        <v>254</v>
      </c>
      <c r="E25" s="32" t="s">
        <v>258</v>
      </c>
      <c r="F25" s="29" t="s">
        <v>7</v>
      </c>
      <c r="G25" s="52" t="s">
        <v>88</v>
      </c>
      <c r="H25" s="52" t="s">
        <v>117</v>
      </c>
      <c r="I25" s="335" t="s">
        <v>12</v>
      </c>
      <c r="J25" s="338">
        <f>8*82+2*5*2*13</f>
        <v>916</v>
      </c>
      <c r="K25" s="6">
        <f>8*82</f>
        <v>656</v>
      </c>
      <c r="L25" s="6">
        <f>2*5*2*13</f>
        <v>260</v>
      </c>
      <c r="M25" s="339"/>
      <c r="N25" s="227"/>
      <c r="O25" s="245"/>
      <c r="P25" s="81"/>
      <c r="Q25" s="81"/>
      <c r="R25" s="81"/>
      <c r="S25" s="81"/>
      <c r="T25" s="81"/>
      <c r="U25" s="78">
        <f t="shared" si="10"/>
        <v>0</v>
      </c>
      <c r="V25" s="81"/>
      <c r="W25" s="81"/>
      <c r="X25" s="81"/>
      <c r="Y25" s="257"/>
      <c r="AA25" s="245">
        <f>82*2*2</f>
        <v>328</v>
      </c>
      <c r="AB25" s="81"/>
      <c r="AC25" s="81">
        <f>10*13</f>
        <v>130</v>
      </c>
      <c r="AD25" s="81"/>
      <c r="AE25" s="81"/>
      <c r="AF25" s="81"/>
      <c r="AG25" s="78">
        <f t="shared" si="11"/>
        <v>458</v>
      </c>
      <c r="AH25" s="81">
        <f>AA25</f>
        <v>328</v>
      </c>
      <c r="AI25" s="81"/>
      <c r="AJ25" s="82">
        <v>130</v>
      </c>
      <c r="AK25" s="257"/>
      <c r="AM25" s="245">
        <f>AA25</f>
        <v>328</v>
      </c>
      <c r="AN25" s="81"/>
      <c r="AO25" s="81">
        <f>10*13</f>
        <v>130</v>
      </c>
      <c r="AP25" s="81"/>
      <c r="AQ25" s="81"/>
      <c r="AR25" s="81"/>
      <c r="AS25" s="78">
        <f t="shared" si="12"/>
        <v>458</v>
      </c>
      <c r="AT25" s="81">
        <f>AM25</f>
        <v>328</v>
      </c>
      <c r="AU25" s="81"/>
      <c r="AV25" s="81">
        <v>130</v>
      </c>
      <c r="AW25" s="257"/>
    </row>
    <row r="26" spans="1:49" ht="132.75" customHeight="1" thickBot="1" x14ac:dyDescent="0.2">
      <c r="A26" s="44"/>
      <c r="B26" s="7" t="s">
        <v>334</v>
      </c>
      <c r="C26" s="95"/>
      <c r="D26" s="7" t="s">
        <v>424</v>
      </c>
      <c r="E26" s="32" t="s">
        <v>425</v>
      </c>
      <c r="F26" s="29" t="s">
        <v>7</v>
      </c>
      <c r="G26" s="52" t="s">
        <v>88</v>
      </c>
      <c r="H26" s="52" t="s">
        <v>10</v>
      </c>
      <c r="I26" s="335" t="s">
        <v>256</v>
      </c>
      <c r="J26" s="340">
        <f>2*5*3*13+3*10+119*3</f>
        <v>777</v>
      </c>
      <c r="K26" s="341">
        <f>119*3</f>
        <v>357</v>
      </c>
      <c r="L26" s="341">
        <f>J26-K26</f>
        <v>420</v>
      </c>
      <c r="M26" s="342"/>
      <c r="N26" s="227"/>
      <c r="O26" s="288">
        <f>K26/3</f>
        <v>119</v>
      </c>
      <c r="P26" s="289">
        <v>10</v>
      </c>
      <c r="Q26" s="289">
        <f>2*5*13</f>
        <v>130</v>
      </c>
      <c r="R26" s="289"/>
      <c r="S26" s="289"/>
      <c r="T26" s="289"/>
      <c r="U26" s="78">
        <f t="shared" si="10"/>
        <v>259</v>
      </c>
      <c r="V26" s="289">
        <f>O26</f>
        <v>119</v>
      </c>
      <c r="W26" s="289"/>
      <c r="X26" s="248">
        <f>U26-V26</f>
        <v>140</v>
      </c>
      <c r="Y26" s="290"/>
      <c r="AA26" s="288">
        <f>O26</f>
        <v>119</v>
      </c>
      <c r="AB26" s="289">
        <f>P26</f>
        <v>10</v>
      </c>
      <c r="AC26" s="289">
        <f>2*5*13</f>
        <v>130</v>
      </c>
      <c r="AD26" s="289"/>
      <c r="AE26" s="289"/>
      <c r="AF26" s="289"/>
      <c r="AG26" s="247">
        <f t="shared" si="11"/>
        <v>259</v>
      </c>
      <c r="AH26" s="289">
        <f>AA26</f>
        <v>119</v>
      </c>
      <c r="AI26" s="289"/>
      <c r="AJ26" s="248">
        <f>AG26-AH26</f>
        <v>140</v>
      </c>
      <c r="AK26" s="290"/>
      <c r="AM26" s="288">
        <f>AA26</f>
        <v>119</v>
      </c>
      <c r="AN26" s="289">
        <v>10</v>
      </c>
      <c r="AO26" s="289">
        <f>2*5*13</f>
        <v>130</v>
      </c>
      <c r="AP26" s="289"/>
      <c r="AQ26" s="289"/>
      <c r="AR26" s="289"/>
      <c r="AS26" s="247">
        <f t="shared" si="12"/>
        <v>259</v>
      </c>
      <c r="AT26" s="289">
        <f>AM26</f>
        <v>119</v>
      </c>
      <c r="AU26" s="289"/>
      <c r="AV26" s="248">
        <f>AS26-AT26</f>
        <v>140</v>
      </c>
      <c r="AW26" s="290"/>
    </row>
    <row r="30" spans="1:49" x14ac:dyDescent="0.15"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49" x14ac:dyDescent="0.15">
      <c r="O31" s="74"/>
      <c r="P31" s="74"/>
      <c r="Q31" s="74"/>
      <c r="R31" s="80"/>
      <c r="S31" s="74"/>
      <c r="T31" s="74"/>
      <c r="U31" s="74"/>
      <c r="V31" s="74"/>
      <c r="W31" s="74"/>
      <c r="X31" s="74"/>
      <c r="Y31" s="74"/>
      <c r="AA31" s="74"/>
      <c r="AB31" s="74"/>
      <c r="AC31" s="74"/>
      <c r="AD31" s="80"/>
      <c r="AE31" s="74"/>
      <c r="AF31" s="74"/>
      <c r="AG31" s="74"/>
      <c r="AH31" s="74"/>
      <c r="AI31" s="74"/>
      <c r="AJ31" s="74"/>
      <c r="AK31" s="74"/>
      <c r="AM31" s="74"/>
      <c r="AN31" s="74"/>
      <c r="AO31" s="74"/>
      <c r="AP31" s="80"/>
      <c r="AQ31" s="74"/>
      <c r="AR31" s="74"/>
      <c r="AS31" s="74"/>
      <c r="AT31" s="74"/>
      <c r="AU31" s="74"/>
      <c r="AV31" s="74"/>
      <c r="AW31" s="74"/>
    </row>
    <row r="32" spans="1:49" x14ac:dyDescent="0.15"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15:49" x14ac:dyDescent="0.15">
      <c r="O33" s="86"/>
      <c r="P33" s="74"/>
      <c r="Q33" s="74"/>
      <c r="R33" s="74"/>
      <c r="S33" s="74"/>
      <c r="T33" s="74"/>
      <c r="U33" s="74"/>
      <c r="V33" s="74"/>
      <c r="W33" s="74"/>
      <c r="X33" s="74"/>
      <c r="Y33" s="74"/>
      <c r="AA33" s="80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M33" s="85"/>
      <c r="AN33" s="74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15:49" x14ac:dyDescent="0.15"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5" spans="15:49" x14ac:dyDescent="0.15"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</row>
    <row r="36" spans="15:49" x14ac:dyDescent="0.15"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</row>
    <row r="37" spans="15:49" x14ac:dyDescent="0.15"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</row>
    <row r="38" spans="15:49" x14ac:dyDescent="0.15"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15:49" x14ac:dyDescent="0.15"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  <row r="40" spans="15:49" x14ac:dyDescent="0.15"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</row>
    <row r="41" spans="15:49" x14ac:dyDescent="0.15"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</row>
    <row r="42" spans="15:49" x14ac:dyDescent="0.15"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</row>
    <row r="43" spans="15:49" x14ac:dyDescent="0.15"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</row>
    <row r="44" spans="15:49" x14ac:dyDescent="0.15"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</row>
    <row r="45" spans="15:49" x14ac:dyDescent="0.15"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</row>
    <row r="46" spans="15:49" x14ac:dyDescent="0.15"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</row>
    <row r="47" spans="15:49" x14ac:dyDescent="0.15"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</row>
    <row r="48" spans="15:49" x14ac:dyDescent="0.15"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</row>
    <row r="49" spans="5:49" x14ac:dyDescent="0.15"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</row>
    <row r="50" spans="5:49" ht="65" x14ac:dyDescent="0.15">
      <c r="E50" s="34" t="s">
        <v>173</v>
      </c>
      <c r="G50" s="65">
        <f>1*160000</f>
        <v>160000</v>
      </c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</row>
    <row r="51" spans="5:49" x14ac:dyDescent="0.15">
      <c r="G51" s="65">
        <v>118800</v>
      </c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</row>
    <row r="52" spans="5:49" x14ac:dyDescent="0.15">
      <c r="G52" s="65">
        <f>2*95694</f>
        <v>191388</v>
      </c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</row>
    <row r="53" spans="5:49" x14ac:dyDescent="0.15"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</row>
    <row r="54" spans="5:49" x14ac:dyDescent="0.15"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</row>
    <row r="55" spans="5:49" x14ac:dyDescent="0.15"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</row>
    <row r="56" spans="5:49" x14ac:dyDescent="0.15"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</row>
    <row r="57" spans="5:49" x14ac:dyDescent="0.15"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</row>
    <row r="58" spans="5:49" x14ac:dyDescent="0.15"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</row>
    <row r="59" spans="5:49" x14ac:dyDescent="0.15"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</row>
    <row r="60" spans="5:49" x14ac:dyDescent="0.15"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</row>
    <row r="61" spans="5:49" x14ac:dyDescent="0.15"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</row>
    <row r="62" spans="5:49" x14ac:dyDescent="0.15"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</row>
    <row r="63" spans="5:49" x14ac:dyDescent="0.15"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</row>
    <row r="64" spans="5:49" x14ac:dyDescent="0.15"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</row>
    <row r="65" spans="15:49" x14ac:dyDescent="0.15"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</row>
    <row r="66" spans="15:49" x14ac:dyDescent="0.15"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</row>
    <row r="67" spans="15:49" x14ac:dyDescent="0.15"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</row>
    <row r="68" spans="15:49" x14ac:dyDescent="0.15"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</row>
    <row r="69" spans="15:49" x14ac:dyDescent="0.15"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</row>
    <row r="70" spans="15:49" x14ac:dyDescent="0.15"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</row>
    <row r="71" spans="15:49" x14ac:dyDescent="0.15"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</row>
    <row r="72" spans="15:49" x14ac:dyDescent="0.15"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</row>
    <row r="73" spans="15:49" x14ac:dyDescent="0.15"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</row>
    <row r="74" spans="15:49" x14ac:dyDescent="0.15"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</row>
    <row r="75" spans="15:49" x14ac:dyDescent="0.15"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</row>
    <row r="76" spans="15:49" x14ac:dyDescent="0.15"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</row>
    <row r="77" spans="15:49" x14ac:dyDescent="0.15"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</row>
    <row r="78" spans="15:49" x14ac:dyDescent="0.15"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</row>
    <row r="79" spans="15:49" x14ac:dyDescent="0.15"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</row>
    <row r="80" spans="15:49" x14ac:dyDescent="0.15"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</row>
    <row r="81" spans="15:49" x14ac:dyDescent="0.15"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</row>
    <row r="82" spans="15:49" x14ac:dyDescent="0.15"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</row>
    <row r="83" spans="15:49" x14ac:dyDescent="0.15"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</row>
    <row r="84" spans="15:49" x14ac:dyDescent="0.15"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</row>
    <row r="85" spans="15:49" x14ac:dyDescent="0.15"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</row>
    <row r="86" spans="15:49" x14ac:dyDescent="0.15"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</row>
    <row r="87" spans="15:49" x14ac:dyDescent="0.15"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</row>
    <row r="88" spans="15:49" x14ac:dyDescent="0.15"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</row>
    <row r="89" spans="15:49" x14ac:dyDescent="0.15"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</row>
    <row r="90" spans="15:49" x14ac:dyDescent="0.15"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</row>
    <row r="91" spans="15:49" x14ac:dyDescent="0.15"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</row>
    <row r="92" spans="15:49" x14ac:dyDescent="0.15"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</row>
    <row r="93" spans="15:49" x14ac:dyDescent="0.15"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</row>
    <row r="94" spans="15:49" x14ac:dyDescent="0.15"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</row>
    <row r="95" spans="15:49" x14ac:dyDescent="0.15"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</row>
    <row r="96" spans="15:49" x14ac:dyDescent="0.15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5:49" x14ac:dyDescent="0.15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5:49" x14ac:dyDescent="0.15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5:49" x14ac:dyDescent="0.15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5:49" x14ac:dyDescent="0.15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5:49" x14ac:dyDescent="0.15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</sheetData>
  <customSheetViews>
    <customSheetView guid="{033B3830-A9CA-8D41-BC84-D742977C4300}" scale="96" showGridLines="0" topLeftCell="AG7">
      <selection activeCell="A12" sqref="A12"/>
      <pageMargins left="0.7" right="0.7" top="0.75" bottom="0.75" header="0.3" footer="0.3"/>
    </customSheetView>
    <customSheetView guid="{694CA80F-83B4-4B42-A82F-AA4B9565E59A}" scale="96" showGridLines="0" topLeftCell="AI6">
      <selection activeCell="AV9" sqref="AV9:AW9"/>
      <pageMargins left="0.7" right="0.7" top="0.75" bottom="0.75" header="0.3" footer="0.3"/>
    </customSheetView>
    <customSheetView guid="{072E7775-6D14-894A-BE79-51AE1E53E486}" scale="150" showGridLines="0" topLeftCell="A16">
      <selection activeCell="E50" sqref="E50"/>
      <pageMargins left="0.7" right="0.7" top="0.75" bottom="0.75" header="0.3" footer="0.3"/>
    </customSheetView>
  </customSheetViews>
  <mergeCells count="17">
    <mergeCell ref="A9:B9"/>
    <mergeCell ref="A2:M2"/>
    <mergeCell ref="A3:M3"/>
    <mergeCell ref="A4:M4"/>
    <mergeCell ref="A5:M5"/>
    <mergeCell ref="A6:A7"/>
    <mergeCell ref="B6:B7"/>
    <mergeCell ref="D6:D7"/>
    <mergeCell ref="F6:G6"/>
    <mergeCell ref="H6:I6"/>
    <mergeCell ref="J6:J7"/>
    <mergeCell ref="B8:D8"/>
    <mergeCell ref="AM7:AW7"/>
    <mergeCell ref="O7:Y7"/>
    <mergeCell ref="AA7:AK7"/>
    <mergeCell ref="K6:L6"/>
    <mergeCell ref="M6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2" workbookViewId="0">
      <selection activeCell="I5" sqref="I5"/>
    </sheetView>
  </sheetViews>
  <sheetFormatPr baseColWidth="10" defaultColWidth="8.83203125" defaultRowHeight="15" x14ac:dyDescent="0.2"/>
  <cols>
    <col min="1" max="1" width="5.5" customWidth="1"/>
    <col min="2" max="2" width="14.33203125" customWidth="1"/>
    <col min="3" max="6" width="23.5" customWidth="1"/>
  </cols>
  <sheetData>
    <row r="1" spans="1:6" ht="16" thickBot="1" x14ac:dyDescent="0.25"/>
    <row r="2" spans="1:6" ht="31" thickBot="1" x14ac:dyDescent="0.25">
      <c r="A2" s="105" t="s">
        <v>4</v>
      </c>
      <c r="B2" s="106"/>
      <c r="C2" s="107" t="s">
        <v>321</v>
      </c>
      <c r="D2" s="107" t="s">
        <v>322</v>
      </c>
      <c r="E2" s="107" t="s">
        <v>324</v>
      </c>
      <c r="F2" s="125" t="s">
        <v>323</v>
      </c>
    </row>
    <row r="3" spans="1:6" ht="18.75" customHeight="1" x14ac:dyDescent="0.2">
      <c r="A3" s="111"/>
      <c r="B3" s="109" t="s">
        <v>187</v>
      </c>
      <c r="C3" s="108">
        <f>'Plani Kombetar i DeI 2020-2022'!L8</f>
        <v>35668.5</v>
      </c>
      <c r="D3" s="110">
        <f>'Plani Kombetar i DeI 2020-2022'!M8</f>
        <v>14571.5</v>
      </c>
      <c r="E3" s="110">
        <f>'Plani Kombetar i DeI 2020-2022'!O8</f>
        <v>21323</v>
      </c>
      <c r="F3" s="112">
        <f>'Plani Kombetar i DeI 2020-2022'!P8</f>
        <v>0</v>
      </c>
    </row>
    <row r="4" spans="1:6" ht="24.75" customHeight="1" x14ac:dyDescent="0.2">
      <c r="A4" s="111"/>
      <c r="B4" s="109" t="s">
        <v>188</v>
      </c>
      <c r="C4" s="108">
        <f>'Plani Kombetar i DeI 2020-2022'!Q8</f>
        <v>18469.5</v>
      </c>
      <c r="D4" s="110">
        <f>'Plani Kombetar i DeI 2020-2022'!R8</f>
        <v>9390.5</v>
      </c>
      <c r="E4" s="110">
        <f>'Plani Kombetar i DeI 2020-2022'!T8</f>
        <v>9079</v>
      </c>
      <c r="F4" s="112">
        <f>'Plani Kombetar i DeI 2020-2022'!S8</f>
        <v>0</v>
      </c>
    </row>
    <row r="5" spans="1:6" ht="21.75" customHeight="1" x14ac:dyDescent="0.2">
      <c r="A5" s="111"/>
      <c r="B5" s="109" t="s">
        <v>189</v>
      </c>
      <c r="C5" s="108">
        <f>'Plani Kombetar i DeI 2020-2022'!V8</f>
        <v>11726</v>
      </c>
      <c r="D5" s="110">
        <f>'Plani Kombetar i DeI 2020-2022'!W8</f>
        <v>7926</v>
      </c>
      <c r="E5" s="110">
        <f>'Plani Kombetar i DeI 2020-2022'!Y8</f>
        <v>3800</v>
      </c>
      <c r="F5" s="112">
        <f>'Plani Kombetar i DeI 2020-2022'!S9</f>
        <v>0</v>
      </c>
    </row>
    <row r="6" spans="1:6" ht="21.75" customHeight="1" thickBot="1" x14ac:dyDescent="0.25">
      <c r="A6" s="113"/>
      <c r="B6" s="114" t="s">
        <v>171</v>
      </c>
      <c r="C6" s="115">
        <f>SUM(C3:C5)</f>
        <v>65864</v>
      </c>
      <c r="D6" s="115">
        <f>SUM(D3:D5)</f>
        <v>31888</v>
      </c>
      <c r="E6" s="115">
        <f>SUM(E3:E5)</f>
        <v>34202</v>
      </c>
      <c r="F6" s="112">
        <f>'Plani Kombetar i DeI 2020-2022'!S10</f>
        <v>0</v>
      </c>
    </row>
    <row r="7" spans="1:6" x14ac:dyDescent="0.2">
      <c r="C7" s="56"/>
      <c r="D7" s="56"/>
      <c r="E7" s="56"/>
      <c r="F7" s="56"/>
    </row>
    <row r="8" spans="1:6" ht="16" thickBot="1" x14ac:dyDescent="0.25">
      <c r="A8" t="s">
        <v>190</v>
      </c>
      <c r="C8" s="56"/>
      <c r="D8" s="56"/>
      <c r="E8" s="56"/>
      <c r="F8" s="56"/>
    </row>
    <row r="9" spans="1:6" ht="31" thickBot="1" x14ac:dyDescent="0.25">
      <c r="A9" s="105" t="s">
        <v>4</v>
      </c>
      <c r="B9" s="116"/>
      <c r="C9" s="117" t="s">
        <v>319</v>
      </c>
      <c r="D9" s="117" t="s">
        <v>320</v>
      </c>
      <c r="E9" s="118" t="s">
        <v>191</v>
      </c>
    </row>
    <row r="10" spans="1:6" x14ac:dyDescent="0.2">
      <c r="A10" s="111"/>
      <c r="B10" s="109" t="s">
        <v>187</v>
      </c>
      <c r="C10" s="119">
        <f>D3/C3</f>
        <v>0.40852572998584186</v>
      </c>
      <c r="D10" s="119">
        <f>E3/C3</f>
        <v>0.59781039292372817</v>
      </c>
      <c r="E10" s="120">
        <f>F3/C3</f>
        <v>0</v>
      </c>
      <c r="F10" s="54"/>
    </row>
    <row r="11" spans="1:6" x14ac:dyDescent="0.2">
      <c r="A11" s="111"/>
      <c r="B11" s="109" t="s">
        <v>188</v>
      </c>
      <c r="C11" s="119">
        <f>D4/C4</f>
        <v>0.50843282167898429</v>
      </c>
      <c r="D11" s="119">
        <f>E4/C4</f>
        <v>0.49156717832101571</v>
      </c>
      <c r="E11" s="120">
        <f>F4/C4</f>
        <v>0</v>
      </c>
      <c r="F11" s="54"/>
    </row>
    <row r="12" spans="1:6" ht="16" thickBot="1" x14ac:dyDescent="0.25">
      <c r="A12" s="121"/>
      <c r="B12" s="122" t="s">
        <v>189</v>
      </c>
      <c r="C12" s="123">
        <f>D5/C5</f>
        <v>0.67593382227528565</v>
      </c>
      <c r="D12" s="123">
        <f>E5/C5</f>
        <v>0.3240661777247143</v>
      </c>
      <c r="E12" s="124">
        <f>F5/C5</f>
        <v>0</v>
      </c>
      <c r="F12" s="54"/>
    </row>
  </sheetData>
  <customSheetViews>
    <customSheetView guid="{033B3830-A9CA-8D41-BC84-D742977C4300}" topLeftCell="A2">
      <selection activeCell="I5" sqref="I5"/>
      <pageMargins left="0.7" right="0.7" top="0.75" bottom="0.75" header="0.3" footer="0.3"/>
    </customSheetView>
    <customSheetView guid="{694CA80F-83B4-4B42-A82F-AA4B9565E59A}">
      <selection activeCell="I1" sqref="I1"/>
      <pageMargins left="0.7" right="0.7" top="0.75" bottom="0.75" header="0.3" footer="0.3"/>
    </customSheetView>
    <customSheetView guid="{072E7775-6D14-894A-BE79-51AE1E53E486}" topLeftCell="B1">
      <selection activeCell="I9" sqref="I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D6" sqref="D6"/>
    </sheetView>
  </sheetViews>
  <sheetFormatPr baseColWidth="10" defaultColWidth="8.83203125" defaultRowHeight="15" x14ac:dyDescent="0.2"/>
  <sheetData>
    <row r="3" spans="4:4" x14ac:dyDescent="0.2">
      <c r="D3">
        <v>1200</v>
      </c>
    </row>
    <row r="4" spans="4:4" x14ac:dyDescent="0.2">
      <c r="D4">
        <v>3325</v>
      </c>
    </row>
    <row r="5" spans="4:4" x14ac:dyDescent="0.2">
      <c r="D5">
        <v>600</v>
      </c>
    </row>
    <row r="6" spans="4:4" x14ac:dyDescent="0.2">
      <c r="D6">
        <v>3710</v>
      </c>
    </row>
    <row r="7" spans="4:4" x14ac:dyDescent="0.2">
      <c r="D7">
        <f>SUM(D3:D6)</f>
        <v>8835</v>
      </c>
    </row>
  </sheetData>
  <customSheetViews>
    <customSheetView guid="{033B3830-A9CA-8D41-BC84-D742977C4300}">
      <selection activeCell="D6" sqref="D6"/>
      <pageMargins left="0.7" right="0.7" top="0.75" bottom="0.75" header="0.3" footer="0.3"/>
    </customSheetView>
    <customSheetView guid="{694CA80F-83B4-4B42-A82F-AA4B9565E59A}">
      <selection activeCell="D6" sqref="D6"/>
      <pageMargins left="0.7" right="0.7" top="0.75" bottom="0.75" header="0.3" footer="0.3"/>
    </customSheetView>
    <customSheetView guid="{072E7775-6D14-894A-BE79-51AE1E53E486}">
      <selection activeCell="D6" sqref="D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Plani Kombetar i DeI 2020-2022</vt:lpstr>
      <vt:lpstr>Politika 1</vt:lpstr>
      <vt:lpstr>Politika 2</vt:lpstr>
      <vt:lpstr>Politika 3</vt:lpstr>
      <vt:lpstr>Politika 4</vt:lpstr>
      <vt:lpstr>Politika 5</vt:lpstr>
      <vt:lpstr>Grafik</vt:lpstr>
      <vt:lpstr>Sheet1</vt:lpstr>
    </vt:vector>
  </TitlesOfParts>
  <LinksUpToDate>false</LinksUpToDate>
  <SharedDoc>true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Arapi</dc:creator>
  <cp:lastModifiedBy>Microsoft Office User</cp:lastModifiedBy>
  <cp:lastPrinted>2019-02-26T15:36:06Z</cp:lastPrinted>
  <dcterms:created xsi:type="dcterms:W3CDTF">2019-02-21T16:54:35Z</dcterms:created>
  <dcterms:modified xsi:type="dcterms:W3CDTF">2020-05-25T21:41:43Z</dcterms:modified>
</cp:coreProperties>
</file>